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1725" windowWidth="15300" windowHeight="8970" activeTab="0"/>
  </bookViews>
  <sheets>
    <sheet name="Link Availability" sheetId="1" r:id="rId1"/>
    <sheet name="Fresnel Zone" sheetId="2" r:id="rId2"/>
    <sheet name="GPS Bearing &amp; Distance" sheetId="3" r:id="rId3"/>
    <sheet name="Calculations" sheetId="4" state="hidden" r:id="rId4"/>
  </sheets>
  <definedNames/>
  <calcPr fullCalcOnLoad="1"/>
</workbook>
</file>

<file path=xl/sharedStrings.xml><?xml version="1.0" encoding="utf-8"?>
<sst xmlns="http://schemas.openxmlformats.org/spreadsheetml/2006/main" count="167" uniqueCount="125">
  <si>
    <t>Radio Propagation Path Loss Calculation</t>
  </si>
  <si>
    <t>System Description</t>
  </si>
  <si>
    <t>Link</t>
  </si>
  <si>
    <t>Date</t>
  </si>
  <si>
    <t>Parameter</t>
  </si>
  <si>
    <t>Symbol</t>
  </si>
  <si>
    <t>Value</t>
  </si>
  <si>
    <t>Units</t>
  </si>
  <si>
    <t>Comments</t>
  </si>
  <si>
    <t>Data Input</t>
  </si>
  <si>
    <t>System Parameters</t>
  </si>
  <si>
    <t>Antenna feed loss</t>
  </si>
  <si>
    <t>Af</t>
  </si>
  <si>
    <t>dB</t>
  </si>
  <si>
    <t>Outdoor Unit to Antenna Losses</t>
  </si>
  <si>
    <t>Operating Frequency</t>
  </si>
  <si>
    <t>F</t>
  </si>
  <si>
    <t>MHz</t>
  </si>
  <si>
    <t>Transmit Antenna Gain</t>
  </si>
  <si>
    <t>dBi</t>
  </si>
  <si>
    <t>Transmitter Output Power</t>
  </si>
  <si>
    <t>Pt</t>
  </si>
  <si>
    <t>dBm</t>
  </si>
  <si>
    <t>Measured at Outdoor Unit output</t>
  </si>
  <si>
    <t>Receive Antenna Gain</t>
  </si>
  <si>
    <t>Ar</t>
  </si>
  <si>
    <t>Receiver Sensitivity</t>
  </si>
  <si>
    <t>For BER=1e-6</t>
  </si>
  <si>
    <t>Link Distance</t>
  </si>
  <si>
    <t>D</t>
  </si>
  <si>
    <t>Km</t>
  </si>
  <si>
    <t>Line of sight distance</t>
  </si>
  <si>
    <t>Constants</t>
  </si>
  <si>
    <t>Speed of light</t>
  </si>
  <si>
    <t>c</t>
  </si>
  <si>
    <t>m/s</t>
  </si>
  <si>
    <t>Link Calculation</t>
  </si>
  <si>
    <t>Transmitted ERP</t>
  </si>
  <si>
    <t>Transmitted Signal Power</t>
  </si>
  <si>
    <t>Calculation</t>
  </si>
  <si>
    <t>Antenna Feed Loss</t>
  </si>
  <si>
    <t>TX Antenna Gain</t>
  </si>
  <si>
    <t>Gt</t>
  </si>
  <si>
    <t>Effective Radiated Power</t>
  </si>
  <si>
    <t>Path Loss Calculation</t>
  </si>
  <si>
    <t>Link Frequency</t>
  </si>
  <si>
    <t>Lp</t>
  </si>
  <si>
    <t>For line of sight and no fading</t>
  </si>
  <si>
    <t>Received Power</t>
  </si>
  <si>
    <t>Receiver Antenna Gain</t>
  </si>
  <si>
    <t>Received Signal Power</t>
  </si>
  <si>
    <t>Pr</t>
  </si>
  <si>
    <t>Calculated Result</t>
  </si>
  <si>
    <t>Link Fade Margin</t>
  </si>
  <si>
    <t>Average</t>
  </si>
  <si>
    <t>Dry</t>
  </si>
  <si>
    <t>Humid</t>
  </si>
  <si>
    <t>Mountainous</t>
  </si>
  <si>
    <t>Smooth</t>
  </si>
  <si>
    <t>Link outage hrs/yr</t>
  </si>
  <si>
    <t>Link Availability</t>
  </si>
  <si>
    <t>Select correct value:</t>
  </si>
  <si>
    <t>Climate Factor</t>
  </si>
  <si>
    <t>Terrain Factor</t>
  </si>
  <si>
    <t>Cf</t>
  </si>
  <si>
    <t>Tf</t>
  </si>
  <si>
    <t>Note: Select Cf and Tf according to above table</t>
  </si>
  <si>
    <t>Cf=</t>
  </si>
  <si>
    <t>Tf=</t>
  </si>
  <si>
    <t>h=D*D/2R</t>
  </si>
  <si>
    <t>km</t>
  </si>
  <si>
    <t>d1</t>
  </si>
  <si>
    <t>d2</t>
  </si>
  <si>
    <t>Fresnel</t>
  </si>
  <si>
    <t>F (GHz)</t>
  </si>
  <si>
    <t>D (km)</t>
  </si>
  <si>
    <t>Tower1 (m)</t>
  </si>
  <si>
    <t>Tower2 (m)</t>
  </si>
  <si>
    <t>m=(y-c)/D</t>
  </si>
  <si>
    <t>Straight Line</t>
  </si>
  <si>
    <t>Fresnel 2</t>
  </si>
  <si>
    <t>y=mx+c</t>
  </si>
  <si>
    <t>R</t>
  </si>
  <si>
    <t>d3</t>
  </si>
  <si>
    <t>Hmax</t>
  </si>
  <si>
    <t>Tower to Tower</t>
  </si>
  <si>
    <t>Earth Curvature</t>
  </si>
  <si>
    <t>Fresnel Zone</t>
  </si>
  <si>
    <t>Fresnel factor</t>
  </si>
  <si>
    <t>Distance (km)</t>
  </si>
  <si>
    <t>Link Planner: Fresnel Zone &amp; Earth Curvature</t>
  </si>
  <si>
    <t>K-factor</t>
  </si>
  <si>
    <t>Calculated Parameters</t>
  </si>
  <si>
    <t>Link Path Loss</t>
  </si>
  <si>
    <t>hrs/yr</t>
  </si>
  <si>
    <t>miles</t>
  </si>
  <si>
    <t>Plessey</t>
  </si>
  <si>
    <t>System Gain</t>
  </si>
  <si>
    <t>Calculated Output</t>
  </si>
  <si>
    <t>Obstructions on earth</t>
  </si>
  <si>
    <t>Total Earth Terrain</t>
  </si>
  <si>
    <t>LOS converted to miles</t>
  </si>
  <si>
    <t>Link Parameters</t>
  </si>
  <si>
    <t>Deg</t>
  </si>
  <si>
    <t>Min</t>
  </si>
  <si>
    <t>Sec</t>
  </si>
  <si>
    <t>Hemisphere</t>
  </si>
  <si>
    <t>Dec Deg</t>
  </si>
  <si>
    <t>Site A Latitude</t>
  </si>
  <si>
    <t>S</t>
  </si>
  <si>
    <t>Site A Longitude</t>
  </si>
  <si>
    <t>E</t>
  </si>
  <si>
    <t>Site B Latitude</t>
  </si>
  <si>
    <t>Site B Longitude</t>
  </si>
  <si>
    <t>deg</t>
  </si>
  <si>
    <t>Bearing at A looking towards B</t>
  </si>
  <si>
    <t>Bearing at B looking towards A</t>
  </si>
  <si>
    <t>Note 1:     It is important to enter the hemisphere, ie N, E, S, W.</t>
  </si>
  <si>
    <t>Note 2:    Enter co-ordinates in deg, min, sec and the hemisphere. The decimal degrees will be calculated, and the sign will reflect the hemisphere</t>
  </si>
  <si>
    <t xml:space="preserve">                   (North and West will be positive, South and East negative)</t>
  </si>
  <si>
    <r>
      <t xml:space="preserve">Distance </t>
    </r>
    <r>
      <rPr>
        <sz val="10"/>
        <color indexed="57"/>
        <rFont val="Arial"/>
        <family val="2"/>
      </rPr>
      <t>A</t>
    </r>
    <r>
      <rPr>
        <sz val="10"/>
        <rFont val="Arial"/>
        <family val="0"/>
      </rPr>
      <t xml:space="preserve"> to </t>
    </r>
    <r>
      <rPr>
        <sz val="10"/>
        <color indexed="10"/>
        <rFont val="Arial"/>
        <family val="2"/>
      </rPr>
      <t>B</t>
    </r>
  </si>
  <si>
    <r>
      <t xml:space="preserve">Bearing </t>
    </r>
    <r>
      <rPr>
        <sz val="10"/>
        <color indexed="57"/>
        <rFont val="Arial"/>
        <family val="2"/>
      </rPr>
      <t>A</t>
    </r>
    <r>
      <rPr>
        <sz val="10"/>
        <rFont val="Arial"/>
        <family val="0"/>
      </rPr>
      <t xml:space="preserve"> to </t>
    </r>
    <r>
      <rPr>
        <sz val="10"/>
        <color indexed="10"/>
        <rFont val="Arial"/>
        <family val="2"/>
      </rPr>
      <t>B</t>
    </r>
  </si>
  <si>
    <r>
      <t xml:space="preserve">Bearing </t>
    </r>
    <r>
      <rPr>
        <sz val="10"/>
        <color indexed="10"/>
        <rFont val="Arial"/>
        <family val="2"/>
      </rPr>
      <t>B</t>
    </r>
    <r>
      <rPr>
        <sz val="10"/>
        <rFont val="Arial"/>
        <family val="0"/>
      </rPr>
      <t xml:space="preserve"> to </t>
    </r>
    <r>
      <rPr>
        <sz val="10"/>
        <color indexed="57"/>
        <rFont val="Arial"/>
        <family val="2"/>
      </rPr>
      <t>A</t>
    </r>
  </si>
  <si>
    <t xml:space="preserve">Link Planner: Approximation of Bearing and </t>
  </si>
  <si>
    <t xml:space="preserve">                          LOS Distance based on GPS co-ordinates</t>
  </si>
</sst>
</file>

<file path=xl/styles.xml><?xml version="1.0" encoding="utf-8"?>
<styleSheet xmlns="http://schemas.openxmlformats.org/spreadsheetml/2006/main">
  <numFmts count="46">
    <numFmt numFmtId="5" formatCode="&quot;$U&quot;\ #,##0;&quot;$U&quot;\ \-#,##0"/>
    <numFmt numFmtId="6" formatCode="&quot;$U&quot;\ #,##0;[Red]&quot;$U&quot;\ \-#,##0"/>
    <numFmt numFmtId="7" formatCode="&quot;$U&quot;\ #,##0.00;&quot;$U&quot;\ \-#,##0.00"/>
    <numFmt numFmtId="8" formatCode="&quot;$U&quot;\ #,##0.00;[Red]&quot;$U&quot;\ \-#,##0.00"/>
    <numFmt numFmtId="42" formatCode="_ &quot;$U&quot;\ * #,##0_ ;_ &quot;$U&quot;\ * \-#,##0_ ;_ &quot;$U&quot;\ * &quot;-&quot;_ ;_ @_ "/>
    <numFmt numFmtId="41" formatCode="_ * #,##0_ ;_ * \-#,##0_ ;_ * &quot;-&quot;_ ;_ @_ "/>
    <numFmt numFmtId="44" formatCode="_ &quot;$U&quot;\ * #,##0.00_ ;_ &quot;$U&quot;\ * \-#,##0.00_ ;_ &quot;$U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&quot;R&quot;\ * #,##0.00_ ;_ &quot;R&quot;\ * \-#,##0.00_ ;_ &quot;R&quot;\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dd\-mmm\-yyyy"/>
    <numFmt numFmtId="193" formatCode="0.00000000%"/>
    <numFmt numFmtId="194" formatCode="0.0000"/>
    <numFmt numFmtId="195" formatCode="0.0"/>
    <numFmt numFmtId="196" formatCode="0.000000%"/>
    <numFmt numFmtId="197" formatCode="0.0000000"/>
    <numFmt numFmtId="198" formatCode="0.0000%"/>
    <numFmt numFmtId="199" formatCode="0.000000"/>
    <numFmt numFmtId="200" formatCode="0.00000"/>
    <numFmt numFmtId="201" formatCode="0.000"/>
  </numFmts>
  <fonts count="22">
    <font>
      <sz val="10"/>
      <name val="Arial"/>
      <family val="0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1"/>
      <color indexed="12"/>
      <name val="Arial"/>
      <family val="2"/>
    </font>
    <font>
      <sz val="10"/>
      <color indexed="14"/>
      <name val="Arial"/>
      <family val="2"/>
    </font>
    <font>
      <sz val="10"/>
      <name val="Geneva"/>
      <family val="0"/>
    </font>
    <font>
      <i/>
      <sz val="10"/>
      <name val="Geneva"/>
      <family val="0"/>
    </font>
    <font>
      <b/>
      <sz val="10"/>
      <name val="Geneva"/>
      <family val="0"/>
    </font>
    <font>
      <sz val="10"/>
      <color indexed="33"/>
      <name val="Arial"/>
      <family val="2"/>
    </font>
    <font>
      <sz val="11"/>
      <name val="Arial"/>
      <family val="2"/>
    </font>
    <font>
      <sz val="10"/>
      <color indexed="57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color indexed="12"/>
      <name val="Arial"/>
      <family val="2"/>
    </font>
    <font>
      <sz val="11.5"/>
      <name val="Arial"/>
      <family val="0"/>
    </font>
    <font>
      <b/>
      <sz val="11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193" fontId="2" fillId="0" borderId="0" xfId="0" applyNumberFormat="1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194" fontId="0" fillId="0" borderId="0" xfId="0" applyNumberFormat="1" applyAlignment="1">
      <alignment/>
    </xf>
    <xf numFmtId="0" fontId="0" fillId="0" borderId="1" xfId="0" applyBorder="1" applyAlignment="1">
      <alignment wrapText="1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195" fontId="0" fillId="0" borderId="2" xfId="0" applyNumberFormat="1" applyBorder="1" applyAlignment="1">
      <alignment/>
    </xf>
    <xf numFmtId="195" fontId="0" fillId="0" borderId="3" xfId="0" applyNumberFormat="1" applyBorder="1" applyAlignment="1">
      <alignment/>
    </xf>
    <xf numFmtId="194" fontId="2" fillId="0" borderId="0" xfId="0" applyNumberFormat="1" applyFont="1" applyAlignment="1">
      <alignment/>
    </xf>
    <xf numFmtId="193" fontId="0" fillId="0" borderId="0" xfId="0" applyNumberFormat="1" applyAlignment="1">
      <alignment/>
    </xf>
    <xf numFmtId="197" fontId="2" fillId="0" borderId="0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2" fillId="2" borderId="1" xfId="0" applyFont="1" applyFill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hidden="1"/>
    </xf>
    <xf numFmtId="0" fontId="2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92" fontId="0" fillId="0" borderId="0" xfId="0" applyNumberFormat="1" applyBorder="1" applyAlignment="1" applyProtection="1">
      <alignment horizontal="left"/>
      <protection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2" fillId="0" borderId="1" xfId="0" applyFont="1" applyFill="1" applyBorder="1" applyAlignment="1" applyProtection="1">
      <alignment/>
      <protection/>
    </xf>
    <xf numFmtId="0" fontId="0" fillId="0" borderId="4" xfId="0" applyBorder="1" applyAlignment="1">
      <alignment wrapText="1"/>
    </xf>
    <xf numFmtId="195" fontId="19" fillId="0" borderId="5" xfId="0" applyNumberFormat="1" applyFont="1" applyBorder="1" applyAlignment="1" applyProtection="1">
      <alignment/>
      <protection locked="0"/>
    </xf>
    <xf numFmtId="195" fontId="0" fillId="0" borderId="4" xfId="0" applyNumberFormat="1" applyBorder="1" applyAlignment="1">
      <alignment/>
    </xf>
    <xf numFmtId="195" fontId="19" fillId="0" borderId="6" xfId="0" applyNumberFormat="1" applyFont="1" applyBorder="1" applyAlignment="1" applyProtection="1">
      <alignment/>
      <protection locked="0"/>
    </xf>
    <xf numFmtId="195" fontId="19" fillId="0" borderId="7" xfId="0" applyNumberFormat="1" applyFont="1" applyBorder="1" applyAlignment="1" applyProtection="1">
      <alignment/>
      <protection locked="0"/>
    </xf>
    <xf numFmtId="0" fontId="2" fillId="2" borderId="1" xfId="0" applyFont="1" applyFill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/>
    </xf>
    <xf numFmtId="195" fontId="2" fillId="0" borderId="1" xfId="0" applyNumberFormat="1" applyFont="1" applyFill="1" applyBorder="1" applyAlignment="1" applyProtection="1">
      <alignment/>
      <protection/>
    </xf>
    <xf numFmtId="198" fontId="18" fillId="0" borderId="0" xfId="0" applyNumberFormat="1" applyFont="1" applyBorder="1" applyAlignment="1" applyProtection="1">
      <alignment/>
      <protection/>
    </xf>
    <xf numFmtId="0" fontId="0" fillId="0" borderId="5" xfId="0" applyFont="1" applyBorder="1" applyAlignment="1" applyProtection="1">
      <alignment/>
      <protection/>
    </xf>
    <xf numFmtId="0" fontId="0" fillId="0" borderId="8" xfId="0" applyBorder="1" applyAlignment="1" applyProtection="1">
      <alignment horizontal="center"/>
      <protection/>
    </xf>
    <xf numFmtId="195" fontId="18" fillId="0" borderId="8" xfId="0" applyNumberFormat="1" applyFon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193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2" fontId="18" fillId="0" borderId="0" xfId="0" applyNumberFormat="1" applyFont="1" applyBorder="1" applyAlignment="1" applyProtection="1">
      <alignment/>
      <protection/>
    </xf>
    <xf numFmtId="0" fontId="0" fillId="0" borderId="7" xfId="0" applyFont="1" applyBorder="1" applyAlignment="1" applyProtection="1">
      <alignment/>
      <protection/>
    </xf>
    <xf numFmtId="0" fontId="0" fillId="0" borderId="9" xfId="0" applyBorder="1" applyAlignment="1" applyProtection="1">
      <alignment horizontal="center"/>
      <protection/>
    </xf>
    <xf numFmtId="1" fontId="17" fillId="0" borderId="9" xfId="0" applyNumberFormat="1" applyFont="1" applyBorder="1" applyAlignment="1" applyProtection="1">
      <alignment/>
      <protection/>
    </xf>
    <xf numFmtId="1" fontId="0" fillId="0" borderId="8" xfId="0" applyNumberForma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/>
      <protection/>
    </xf>
    <xf numFmtId="0" fontId="19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194" fontId="10" fillId="0" borderId="0" xfId="0" applyNumberFormat="1" applyFont="1" applyAlignment="1">
      <alignment/>
    </xf>
    <xf numFmtId="0" fontId="12" fillId="0" borderId="0" xfId="0" applyFont="1" applyAlignment="1">
      <alignment/>
    </xf>
    <xf numFmtId="194" fontId="12" fillId="0" borderId="0" xfId="0" applyNumberFormat="1" applyFont="1" applyAlignment="1">
      <alignment/>
    </xf>
    <xf numFmtId="0" fontId="13" fillId="0" borderId="0" xfId="0" applyFont="1" applyAlignment="1" applyProtection="1">
      <alignment/>
      <protection hidden="1"/>
    </xf>
    <xf numFmtId="195" fontId="0" fillId="0" borderId="0" xfId="0" applyNumberFormat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Border="1" applyAlignment="1">
      <alignment horizontal="right"/>
    </xf>
    <xf numFmtId="0" fontId="0" fillId="0" borderId="0" xfId="0" applyFill="1" applyBorder="1" applyAlignment="1">
      <alignment/>
    </xf>
    <xf numFmtId="201" fontId="0" fillId="0" borderId="0" xfId="0" applyNumberFormat="1" applyFill="1" applyBorder="1" applyAlignment="1">
      <alignment/>
    </xf>
    <xf numFmtId="0" fontId="0" fillId="2" borderId="1" xfId="0" applyFont="1" applyFill="1" applyBorder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2" fillId="2" borderId="0" xfId="0" applyFont="1" applyFill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v>Tower to Tower</c:v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'Fresnel Zone'!$B$15:$B$35</c:f>
              <c:numCache>
                <c:ptCount val="2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</c:numCache>
            </c:numRef>
          </c:xVal>
          <c:yVal>
            <c:numRef>
              <c:f>'Fresnel Zone'!$C$15:$C$35</c:f>
              <c:numCache>
                <c:ptCount val="21"/>
                <c:pt idx="0">
                  <c:v>20</c:v>
                </c:pt>
                <c:pt idx="1">
                  <c:v>21.5</c:v>
                </c:pt>
                <c:pt idx="2">
                  <c:v>23</c:v>
                </c:pt>
                <c:pt idx="3">
                  <c:v>24.5</c:v>
                </c:pt>
                <c:pt idx="4">
                  <c:v>26</c:v>
                </c:pt>
                <c:pt idx="5">
                  <c:v>27.5</c:v>
                </c:pt>
                <c:pt idx="6">
                  <c:v>29</c:v>
                </c:pt>
                <c:pt idx="7">
                  <c:v>30.5</c:v>
                </c:pt>
                <c:pt idx="8">
                  <c:v>32</c:v>
                </c:pt>
                <c:pt idx="9">
                  <c:v>33.5</c:v>
                </c:pt>
                <c:pt idx="10">
                  <c:v>35</c:v>
                </c:pt>
                <c:pt idx="11">
                  <c:v>36.5</c:v>
                </c:pt>
                <c:pt idx="12">
                  <c:v>38</c:v>
                </c:pt>
                <c:pt idx="13">
                  <c:v>39.5</c:v>
                </c:pt>
                <c:pt idx="14">
                  <c:v>41</c:v>
                </c:pt>
                <c:pt idx="15">
                  <c:v>42.5</c:v>
                </c:pt>
                <c:pt idx="16">
                  <c:v>44</c:v>
                </c:pt>
                <c:pt idx="17">
                  <c:v>45.5</c:v>
                </c:pt>
                <c:pt idx="18">
                  <c:v>47</c:v>
                </c:pt>
                <c:pt idx="19">
                  <c:v>48.5</c:v>
                </c:pt>
                <c:pt idx="20">
                  <c:v>50</c:v>
                </c:pt>
              </c:numCache>
            </c:numRef>
          </c:yVal>
          <c:smooth val="1"/>
        </c:ser>
        <c:ser>
          <c:idx val="1"/>
          <c:order val="1"/>
          <c:tx>
            <c:v>Fresnel Zone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'Fresnel Zone'!$B$15:$B$35</c:f>
              <c:numCache>
                <c:ptCount val="2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</c:numCache>
            </c:numRef>
          </c:xVal>
          <c:yVal>
            <c:numRef>
              <c:f>'Fresnel Zone'!$D$15:$D$35</c:f>
              <c:numCache>
                <c:ptCount val="21"/>
                <c:pt idx="0">
                  <c:v>20</c:v>
                </c:pt>
                <c:pt idx="1">
                  <c:v>16.35493591072389</c:v>
                </c:pt>
                <c:pt idx="2">
                  <c:v>15.917848076885885</c:v>
                </c:pt>
                <c:pt idx="3">
                  <c:v>16.07055315350224</c:v>
                </c:pt>
                <c:pt idx="4">
                  <c:v>16.557130769181178</c:v>
                </c:pt>
                <c:pt idx="5">
                  <c:v>17.2777942018706</c:v>
                </c:pt>
                <c:pt idx="6">
                  <c:v>18.18183424305083</c:v>
                </c:pt>
                <c:pt idx="7">
                  <c:v>19.24009608358506</c:v>
                </c:pt>
                <c:pt idx="8">
                  <c:v>20.43489433833321</c:v>
                </c:pt>
                <c:pt idx="9">
                  <c:v>21.755579681368275</c:v>
                </c:pt>
                <c:pt idx="10">
                  <c:v>23.196413461476475</c:v>
                </c:pt>
                <c:pt idx="11">
                  <c:v>24.755579681368275</c:v>
                </c:pt>
                <c:pt idx="12">
                  <c:v>26.43489433833321</c:v>
                </c:pt>
                <c:pt idx="13">
                  <c:v>28.24009608358506</c:v>
                </c:pt>
                <c:pt idx="14">
                  <c:v>30.18183424305083</c:v>
                </c:pt>
                <c:pt idx="15">
                  <c:v>32.2777942018706</c:v>
                </c:pt>
                <c:pt idx="16">
                  <c:v>34.55713076918118</c:v>
                </c:pt>
                <c:pt idx="17">
                  <c:v>37.07055315350224</c:v>
                </c:pt>
                <c:pt idx="18">
                  <c:v>39.91784807688588</c:v>
                </c:pt>
                <c:pt idx="19">
                  <c:v>43.35493591072389</c:v>
                </c:pt>
                <c:pt idx="20">
                  <c:v>50</c:v>
                </c:pt>
              </c:numCache>
            </c:numRef>
          </c:yVal>
          <c:smooth val="1"/>
        </c:ser>
        <c:ser>
          <c:idx val="2"/>
          <c:order val="2"/>
          <c:tx>
            <c:v>Earth Curvature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'Fresnel Zone'!$B$15:$B$35</c:f>
              <c:numCache>
                <c:ptCount val="2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</c:numCache>
            </c:numRef>
          </c:xVal>
          <c:yVal>
            <c:numRef>
              <c:f>'Fresnel Zone'!$E$15:$E$35</c:f>
              <c:numCache>
                <c:ptCount val="21"/>
                <c:pt idx="0">
                  <c:v>0</c:v>
                </c:pt>
                <c:pt idx="1">
                  <c:v>2.516284727672266</c:v>
                </c:pt>
                <c:pt idx="2">
                  <c:v>4.767697378747451</c:v>
                </c:pt>
                <c:pt idx="3">
                  <c:v>6.754237953225554</c:v>
                </c:pt>
                <c:pt idx="4">
                  <c:v>8.475906451106578</c:v>
                </c:pt>
                <c:pt idx="5">
                  <c:v>9.932702872390522</c:v>
                </c:pt>
                <c:pt idx="6">
                  <c:v>11.124627217077384</c:v>
                </c:pt>
                <c:pt idx="7">
                  <c:v>12.051679485167165</c:v>
                </c:pt>
                <c:pt idx="8">
                  <c:v>12.713859676659867</c:v>
                </c:pt>
                <c:pt idx="9">
                  <c:v>13.111167791555486</c:v>
                </c:pt>
                <c:pt idx="10">
                  <c:v>13.243603829854028</c:v>
                </c:pt>
                <c:pt idx="11">
                  <c:v>13.111167791555486</c:v>
                </c:pt>
                <c:pt idx="12">
                  <c:v>12.713859676659867</c:v>
                </c:pt>
                <c:pt idx="13">
                  <c:v>12.051679485167165</c:v>
                </c:pt>
                <c:pt idx="14">
                  <c:v>11.124627217077384</c:v>
                </c:pt>
                <c:pt idx="15">
                  <c:v>9.932702872390522</c:v>
                </c:pt>
                <c:pt idx="16">
                  <c:v>8.475906451106578</c:v>
                </c:pt>
                <c:pt idx="17">
                  <c:v>6.754237953225554</c:v>
                </c:pt>
                <c:pt idx="18">
                  <c:v>4.767697378747451</c:v>
                </c:pt>
                <c:pt idx="19">
                  <c:v>2.516284727672266</c:v>
                </c:pt>
                <c:pt idx="2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Obstructions</c:v>
          </c:tx>
          <c:spPr>
            <a:ln w="25400">
              <a:solidFill>
                <a:srgbClr val="9933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'Fresnel Zone'!$B$15:$B$35</c:f>
              <c:numCache>
                <c:ptCount val="21"/>
                <c:pt idx="0">
                  <c:v>0</c:v>
                </c:pt>
                <c:pt idx="1">
                  <c:v>1.5</c:v>
                </c:pt>
                <c:pt idx="2">
                  <c:v>3</c:v>
                </c:pt>
                <c:pt idx="3">
                  <c:v>4.5</c:v>
                </c:pt>
                <c:pt idx="4">
                  <c:v>6</c:v>
                </c:pt>
                <c:pt idx="5">
                  <c:v>7.5</c:v>
                </c:pt>
                <c:pt idx="6">
                  <c:v>9</c:v>
                </c:pt>
                <c:pt idx="7">
                  <c:v>10.5</c:v>
                </c:pt>
                <c:pt idx="8">
                  <c:v>12</c:v>
                </c:pt>
                <c:pt idx="9">
                  <c:v>13.5</c:v>
                </c:pt>
                <c:pt idx="10">
                  <c:v>15</c:v>
                </c:pt>
                <c:pt idx="11">
                  <c:v>16.5</c:v>
                </c:pt>
                <c:pt idx="12">
                  <c:v>18</c:v>
                </c:pt>
                <c:pt idx="13">
                  <c:v>19.5</c:v>
                </c:pt>
                <c:pt idx="14">
                  <c:v>21</c:v>
                </c:pt>
                <c:pt idx="15">
                  <c:v>22.5</c:v>
                </c:pt>
                <c:pt idx="16">
                  <c:v>24</c:v>
                </c:pt>
                <c:pt idx="17">
                  <c:v>25.5</c:v>
                </c:pt>
                <c:pt idx="18">
                  <c:v>27</c:v>
                </c:pt>
                <c:pt idx="19">
                  <c:v>28.5</c:v>
                </c:pt>
                <c:pt idx="20">
                  <c:v>30</c:v>
                </c:pt>
              </c:numCache>
            </c:numRef>
          </c:xVal>
          <c:yVal>
            <c:numRef>
              <c:f>'Fresnel Zone'!$G$15:$G$35</c:f>
              <c:numCache>
                <c:ptCount val="21"/>
                <c:pt idx="0">
                  <c:v>0</c:v>
                </c:pt>
                <c:pt idx="1">
                  <c:v>2.516284727672266</c:v>
                </c:pt>
                <c:pt idx="2">
                  <c:v>4.767697378747451</c:v>
                </c:pt>
                <c:pt idx="3">
                  <c:v>6.754237953225554</c:v>
                </c:pt>
                <c:pt idx="4">
                  <c:v>8.475906451106578</c:v>
                </c:pt>
                <c:pt idx="5">
                  <c:v>9.932702872390522</c:v>
                </c:pt>
                <c:pt idx="6">
                  <c:v>11.124627217077384</c:v>
                </c:pt>
                <c:pt idx="7">
                  <c:v>12.051679485167165</c:v>
                </c:pt>
                <c:pt idx="8">
                  <c:v>12.713859676659867</c:v>
                </c:pt>
                <c:pt idx="9">
                  <c:v>13.111167791555486</c:v>
                </c:pt>
                <c:pt idx="10">
                  <c:v>13.243603829854028</c:v>
                </c:pt>
                <c:pt idx="11">
                  <c:v>13.111167791555486</c:v>
                </c:pt>
                <c:pt idx="12">
                  <c:v>12.713859676659867</c:v>
                </c:pt>
                <c:pt idx="13">
                  <c:v>12.051679485167165</c:v>
                </c:pt>
                <c:pt idx="14">
                  <c:v>11.124627217077384</c:v>
                </c:pt>
                <c:pt idx="15">
                  <c:v>9.932702872390522</c:v>
                </c:pt>
                <c:pt idx="16">
                  <c:v>8.475906451106578</c:v>
                </c:pt>
                <c:pt idx="17">
                  <c:v>6.754237953225554</c:v>
                </c:pt>
                <c:pt idx="18">
                  <c:v>4.767697378747451</c:v>
                </c:pt>
                <c:pt idx="19">
                  <c:v>2.516284727672266</c:v>
                </c:pt>
                <c:pt idx="20">
                  <c:v>0</c:v>
                </c:pt>
              </c:numCache>
            </c:numRef>
          </c:yVal>
          <c:smooth val="1"/>
        </c:ser>
        <c:axId val="31796184"/>
        <c:axId val="17730201"/>
      </c:scatterChart>
      <c:valAx>
        <c:axId val="317961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Distance 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30201"/>
        <c:crosses val="autoZero"/>
        <c:crossBetween val="midCat"/>
        <c:dispUnits/>
      </c:valAx>
      <c:valAx>
        <c:axId val="17730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Meter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796184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847725</xdr:colOff>
      <xdr:row>6</xdr:row>
      <xdr:rowOff>19050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24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85725</xdr:colOff>
      <xdr:row>6</xdr:row>
      <xdr:rowOff>57150</xdr:rowOff>
    </xdr:to>
    <xdr:grpSp>
      <xdr:nvGrpSpPr>
        <xdr:cNvPr id="1" name="Group 18"/>
        <xdr:cNvGrpSpPr>
          <a:grpSpLocks/>
        </xdr:cNvGrpSpPr>
      </xdr:nvGrpSpPr>
      <xdr:grpSpPr>
        <a:xfrm>
          <a:off x="0" y="0"/>
          <a:ext cx="2524125" cy="1095375"/>
          <a:chOff x="851" y="568"/>
          <a:chExt cx="3974" cy="1734"/>
        </a:xfrm>
        <a:solidFill>
          <a:srgbClr val="FFFFFF"/>
        </a:solidFill>
      </xdr:grpSpPr>
      <xdr:pic>
        <xdr:nvPicPr>
          <xdr:cNvPr id="2" name="Picture 19"/>
          <xdr:cNvPicPr preferRelativeResize="1">
            <a:picLocks noChangeAspect="1"/>
          </xdr:cNvPicPr>
        </xdr:nvPicPr>
        <xdr:blipFill>
          <a:blip r:embed="rId1"/>
          <a:srcRect r="61035"/>
          <a:stretch>
            <a:fillRect/>
          </a:stretch>
        </xdr:blipFill>
        <xdr:spPr>
          <a:xfrm>
            <a:off x="851" y="568"/>
            <a:ext cx="3974" cy="1734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3" name="Group 20"/>
          <xdr:cNvGrpSpPr>
            <a:grpSpLocks/>
          </xdr:cNvGrpSpPr>
        </xdr:nvGrpSpPr>
        <xdr:grpSpPr>
          <a:xfrm>
            <a:off x="1180" y="776"/>
            <a:ext cx="3362" cy="1436"/>
            <a:chOff x="1180" y="776"/>
            <a:chExt cx="3362" cy="1436"/>
          </a:xfrm>
          <a:solidFill>
            <a:srgbClr val="FFFFFF"/>
          </a:solidFill>
        </xdr:grpSpPr>
        <xdr:pic>
          <xdr:nvPicPr>
            <xdr:cNvPr id="4" name="Picture 2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 flipV="1">
              <a:off x="1240" y="1919"/>
              <a:ext cx="3302" cy="293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Picture 22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1180" y="776"/>
              <a:ext cx="3312" cy="9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  <xdr:twoCellAnchor>
    <xdr:from>
      <xdr:col>8</xdr:col>
      <xdr:colOff>76200</xdr:colOff>
      <xdr:row>13</xdr:row>
      <xdr:rowOff>257175</xdr:rowOff>
    </xdr:from>
    <xdr:to>
      <xdr:col>17</xdr:col>
      <xdr:colOff>333375</xdr:colOff>
      <xdr:row>33</xdr:row>
      <xdr:rowOff>0</xdr:rowOff>
    </xdr:to>
    <xdr:graphicFrame>
      <xdr:nvGraphicFramePr>
        <xdr:cNvPr id="6" name="Chart 23"/>
        <xdr:cNvGraphicFramePr/>
      </xdr:nvGraphicFramePr>
      <xdr:xfrm>
        <a:off x="5153025" y="2266950"/>
        <a:ext cx="5743575" cy="3305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5</xdr:col>
      <xdr:colOff>95250</xdr:colOff>
      <xdr:row>6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5241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9"/>
  <sheetViews>
    <sheetView showGridLines="0" tabSelected="1" workbookViewId="0" topLeftCell="A14">
      <selection activeCell="D20" sqref="D20"/>
    </sheetView>
  </sheetViews>
  <sheetFormatPr defaultColWidth="11.421875" defaultRowHeight="12.75"/>
  <cols>
    <col min="1" max="1" width="25.140625" style="0" customWidth="1"/>
    <col min="2" max="2" width="24.140625" style="0" customWidth="1"/>
    <col min="3" max="3" width="18.140625" style="0" customWidth="1"/>
    <col min="4" max="4" width="17.00390625" style="0" customWidth="1"/>
    <col min="5" max="5" width="8.140625" style="0" customWidth="1"/>
    <col min="6" max="6" width="31.140625" style="0" customWidth="1"/>
    <col min="7" max="7" width="12.421875" style="0" hidden="1" customWidth="1"/>
    <col min="8" max="8" width="0" style="0" hidden="1" customWidth="1"/>
    <col min="9" max="9" width="12.28125" style="0" hidden="1" customWidth="1"/>
    <col min="10" max="16384" width="9.140625" style="0" customWidth="1"/>
  </cols>
  <sheetData>
    <row r="1" spans="2:6" ht="12.75">
      <c r="B1" s="2"/>
      <c r="C1" s="3"/>
      <c r="D1" s="3"/>
      <c r="E1" s="3"/>
      <c r="F1" s="3"/>
    </row>
    <row r="2" spans="1:6" ht="18">
      <c r="A2" s="4"/>
      <c r="C2" s="44"/>
      <c r="D2" s="45" t="s">
        <v>0</v>
      </c>
      <c r="E2" s="4"/>
      <c r="F2" s="4"/>
    </row>
    <row r="3" spans="1:6" ht="14.25">
      <c r="A3" s="4"/>
      <c r="C3" s="27"/>
      <c r="D3" s="1"/>
      <c r="E3" s="4"/>
      <c r="F3" s="4"/>
    </row>
    <row r="4" spans="1:6" ht="14.25">
      <c r="A4" s="4"/>
      <c r="C4" s="27"/>
      <c r="D4" s="1"/>
      <c r="E4" s="4"/>
      <c r="F4" s="4"/>
    </row>
    <row r="5" spans="1:6" ht="14.25">
      <c r="A5" s="4"/>
      <c r="C5" s="27"/>
      <c r="D5" s="1"/>
      <c r="E5" s="4"/>
      <c r="F5" s="4"/>
    </row>
    <row r="6" spans="1:6" ht="12.75">
      <c r="A6" s="4"/>
      <c r="B6" s="4"/>
      <c r="C6" s="4"/>
      <c r="D6" s="4"/>
      <c r="E6" s="4"/>
      <c r="F6" s="4"/>
    </row>
    <row r="7" spans="1:6" ht="12.75">
      <c r="A7" s="4"/>
      <c r="B7" s="4"/>
      <c r="C7" s="4"/>
      <c r="D7" s="4"/>
      <c r="E7" s="4"/>
      <c r="F7" s="4"/>
    </row>
    <row r="8" spans="1:6" ht="14.25">
      <c r="A8" s="10" t="s">
        <v>1</v>
      </c>
      <c r="B8" s="11"/>
      <c r="C8" s="4"/>
      <c r="D8" s="4"/>
      <c r="E8" s="4"/>
      <c r="F8" s="4"/>
    </row>
    <row r="9" spans="1:6" ht="12.75">
      <c r="A9" s="13"/>
      <c r="B9" s="11"/>
      <c r="C9" s="4"/>
      <c r="D9" s="4"/>
      <c r="E9" s="4"/>
      <c r="F9" s="4"/>
    </row>
    <row r="10" spans="1:6" ht="12.75">
      <c r="A10" s="13" t="s">
        <v>2</v>
      </c>
      <c r="B10" s="11" t="s">
        <v>96</v>
      </c>
      <c r="C10" s="6"/>
      <c r="D10" s="6"/>
      <c r="E10" s="6"/>
      <c r="F10" s="6"/>
    </row>
    <row r="11" spans="1:6" ht="12.75">
      <c r="A11" s="13"/>
      <c r="B11" s="11"/>
      <c r="C11" s="6"/>
      <c r="D11" s="6"/>
      <c r="E11" s="6"/>
      <c r="F11" s="6"/>
    </row>
    <row r="12" spans="1:6" ht="12.75">
      <c r="A12" s="13" t="s">
        <v>3</v>
      </c>
      <c r="B12" s="43">
        <v>37629</v>
      </c>
      <c r="C12" s="6"/>
      <c r="D12" s="6"/>
      <c r="E12" s="6"/>
      <c r="F12" s="6"/>
    </row>
    <row r="13" spans="1:6" ht="12.75">
      <c r="A13" s="5"/>
      <c r="B13" s="4"/>
      <c r="C13" s="4"/>
      <c r="D13" s="4"/>
      <c r="E13" s="4"/>
      <c r="F13" s="4"/>
    </row>
    <row r="14" ht="12.75">
      <c r="A14" s="13"/>
    </row>
    <row r="15" spans="2:6" ht="14.25">
      <c r="B15" s="48" t="s">
        <v>4</v>
      </c>
      <c r="C15" s="48" t="s">
        <v>5</v>
      </c>
      <c r="D15" s="49" t="s">
        <v>6</v>
      </c>
      <c r="E15" s="48" t="s">
        <v>7</v>
      </c>
      <c r="F15" s="48" t="s">
        <v>8</v>
      </c>
    </row>
    <row r="16" spans="2:6" ht="12.75">
      <c r="B16" s="40"/>
      <c r="C16" s="40"/>
      <c r="D16" s="7"/>
      <c r="E16" s="40"/>
      <c r="F16" s="40"/>
    </row>
    <row r="17" ht="14.25">
      <c r="A17" s="10" t="s">
        <v>9</v>
      </c>
    </row>
    <row r="18" spans="1:6" ht="12.75">
      <c r="A18" s="13"/>
      <c r="B18" s="40"/>
      <c r="C18" s="40"/>
      <c r="D18" s="7"/>
      <c r="E18" s="40"/>
      <c r="F18" s="40"/>
    </row>
    <row r="19" spans="1:6" ht="12.75">
      <c r="A19" s="13" t="s">
        <v>10</v>
      </c>
      <c r="B19" s="11" t="s">
        <v>11</v>
      </c>
      <c r="C19" s="12" t="s">
        <v>12</v>
      </c>
      <c r="D19" s="37">
        <v>5</v>
      </c>
      <c r="E19" s="12" t="s">
        <v>13</v>
      </c>
      <c r="F19" s="11" t="s">
        <v>14</v>
      </c>
    </row>
    <row r="20" spans="1:6" ht="12.75">
      <c r="A20" s="13"/>
      <c r="B20" s="11" t="s">
        <v>15</v>
      </c>
      <c r="C20" s="12" t="s">
        <v>16</v>
      </c>
      <c r="D20" s="37">
        <v>2400</v>
      </c>
      <c r="E20" s="12" t="s">
        <v>17</v>
      </c>
      <c r="F20" s="11"/>
    </row>
    <row r="21" spans="1:6" ht="12.75">
      <c r="A21" s="13"/>
      <c r="B21" s="11" t="s">
        <v>18</v>
      </c>
      <c r="C21" s="12" t="s">
        <v>42</v>
      </c>
      <c r="D21" s="37">
        <v>15</v>
      </c>
      <c r="E21" s="12" t="s">
        <v>19</v>
      </c>
      <c r="F21" s="11"/>
    </row>
    <row r="22" spans="1:6" ht="12.75">
      <c r="A22" s="13"/>
      <c r="B22" s="11" t="s">
        <v>20</v>
      </c>
      <c r="C22" s="12" t="s">
        <v>21</v>
      </c>
      <c r="D22" s="37">
        <v>23</v>
      </c>
      <c r="E22" s="12" t="s">
        <v>22</v>
      </c>
      <c r="F22" s="11" t="s">
        <v>23</v>
      </c>
    </row>
    <row r="23" spans="1:6" ht="12.75">
      <c r="A23" s="13"/>
      <c r="B23" s="11" t="s">
        <v>24</v>
      </c>
      <c r="C23" s="12" t="s">
        <v>25</v>
      </c>
      <c r="D23" s="37">
        <v>15</v>
      </c>
      <c r="E23" s="12" t="s">
        <v>19</v>
      </c>
      <c r="F23" s="11"/>
    </row>
    <row r="24" spans="1:6" ht="12.75">
      <c r="A24" s="13"/>
      <c r="B24" s="11" t="s">
        <v>26</v>
      </c>
      <c r="C24" s="12"/>
      <c r="D24" s="37">
        <v>-84</v>
      </c>
      <c r="E24" s="12" t="s">
        <v>22</v>
      </c>
      <c r="F24" s="11" t="s">
        <v>27</v>
      </c>
    </row>
    <row r="25" spans="1:6" ht="12.75">
      <c r="A25" s="13"/>
      <c r="B25" s="11" t="s">
        <v>97</v>
      </c>
      <c r="C25" s="12"/>
      <c r="D25" s="50">
        <f>-D24+D22</f>
        <v>107</v>
      </c>
      <c r="E25" s="12"/>
      <c r="F25" s="11"/>
    </row>
    <row r="26" spans="1:6" ht="12.75">
      <c r="A26" s="13"/>
      <c r="B26" s="11"/>
      <c r="C26" s="12"/>
      <c r="D26" s="57"/>
      <c r="E26" s="12"/>
      <c r="F26" s="11"/>
    </row>
    <row r="27" spans="1:6" ht="12.75">
      <c r="A27" s="13" t="s">
        <v>102</v>
      </c>
      <c r="B27" s="41" t="s">
        <v>28</v>
      </c>
      <c r="C27" s="12" t="s">
        <v>29</v>
      </c>
      <c r="D27" s="37">
        <v>15</v>
      </c>
      <c r="E27" s="12" t="s">
        <v>30</v>
      </c>
      <c r="F27" s="11" t="s">
        <v>31</v>
      </c>
    </row>
    <row r="28" spans="1:6" ht="12.75">
      <c r="A28" s="13"/>
      <c r="B28" s="41"/>
      <c r="C28" s="12" t="s">
        <v>29</v>
      </c>
      <c r="D28" s="58">
        <f>D27/1.609344</f>
        <v>9.32056788356001</v>
      </c>
      <c r="E28" s="12" t="s">
        <v>95</v>
      </c>
      <c r="F28" s="11" t="s">
        <v>101</v>
      </c>
    </row>
    <row r="29" spans="1:6" ht="12.75">
      <c r="A29" s="13"/>
      <c r="B29" s="41"/>
      <c r="C29" s="12"/>
      <c r="D29" s="57"/>
      <c r="E29" s="12"/>
      <c r="F29" s="11"/>
    </row>
    <row r="30" spans="1:6" ht="12.75">
      <c r="A30" s="13" t="s">
        <v>60</v>
      </c>
      <c r="B30" s="41" t="s">
        <v>62</v>
      </c>
      <c r="C30" s="12" t="s">
        <v>64</v>
      </c>
      <c r="D30" s="37">
        <v>0.25</v>
      </c>
      <c r="E30" s="12"/>
      <c r="F30" s="11" t="str">
        <f>IF(D30=0.25,"Average",IF(D30=0.1,"Dry",IF(D30=0.5,"Humid"," ")))</f>
        <v>Average</v>
      </c>
    </row>
    <row r="31" spans="1:6" ht="12.75">
      <c r="A31" s="13"/>
      <c r="B31" s="41" t="s">
        <v>63</v>
      </c>
      <c r="C31" s="12" t="s">
        <v>65</v>
      </c>
      <c r="D31" s="37">
        <v>1</v>
      </c>
      <c r="E31" s="12"/>
      <c r="F31" s="11" t="str">
        <f>IF(D31=1,"Average",IF(D31=0.25,"Mountainous",IF(D31=4,"Smooth"," ")))</f>
        <v>Average</v>
      </c>
    </row>
    <row r="32" spans="1:6" ht="12.75">
      <c r="A32" s="13"/>
      <c r="B32" s="41"/>
      <c r="C32" s="12"/>
      <c r="D32" s="12"/>
      <c r="E32" s="12"/>
      <c r="F32" s="11"/>
    </row>
    <row r="33" spans="1:6" ht="14.25">
      <c r="A33" s="10" t="s">
        <v>98</v>
      </c>
      <c r="B33" s="41"/>
      <c r="C33" s="12"/>
      <c r="D33" s="12"/>
      <c r="E33" s="12"/>
      <c r="F33" s="11"/>
    </row>
    <row r="34" spans="1:6" ht="12.75">
      <c r="A34" s="13"/>
      <c r="B34" s="41"/>
      <c r="C34" s="12"/>
      <c r="D34" s="38"/>
      <c r="E34" s="12"/>
      <c r="F34" s="11"/>
    </row>
    <row r="35" spans="1:6" ht="15">
      <c r="A35" s="13" t="s">
        <v>92</v>
      </c>
      <c r="B35" s="60" t="s">
        <v>53</v>
      </c>
      <c r="C35" s="61"/>
      <c r="D35" s="62">
        <f>D59</f>
        <v>3.4321777986055793</v>
      </c>
      <c r="E35" s="70" t="str">
        <f>E59</f>
        <v>dB</v>
      </c>
      <c r="F35" s="71"/>
    </row>
    <row r="36" spans="1:6" ht="15">
      <c r="A36" s="13"/>
      <c r="B36" s="63" t="s">
        <v>93</v>
      </c>
      <c r="C36" s="12" t="s">
        <v>46</v>
      </c>
      <c r="D36" s="47">
        <f>10*LOG(D79^2/((4*PI()*D51*1000*D50*1000000)^2))</f>
        <v>-123.56782220139442</v>
      </c>
      <c r="E36" s="12" t="s">
        <v>13</v>
      </c>
      <c r="F36" s="72" t="s">
        <v>47</v>
      </c>
    </row>
    <row r="37" spans="1:6" ht="15">
      <c r="A37" s="13"/>
      <c r="B37" s="63"/>
      <c r="C37" s="12"/>
      <c r="D37" s="47"/>
      <c r="E37" s="12"/>
      <c r="F37" s="72"/>
    </row>
    <row r="38" spans="1:6" ht="15">
      <c r="A38" s="13"/>
      <c r="B38" s="63" t="s">
        <v>60</v>
      </c>
      <c r="C38" s="64"/>
      <c r="D38" s="59">
        <f>$C$74</f>
        <v>0.9994392267246238</v>
      </c>
      <c r="E38" s="12"/>
      <c r="F38" s="73"/>
    </row>
    <row r="39" spans="1:7" ht="15">
      <c r="A39" s="42"/>
      <c r="B39" s="63" t="s">
        <v>59</v>
      </c>
      <c r="C39" s="65"/>
      <c r="D39" s="66">
        <f>$C$75</f>
        <v>4.912373892295485</v>
      </c>
      <c r="E39" s="12" t="s">
        <v>94</v>
      </c>
      <c r="F39" s="74"/>
      <c r="G39">
        <f>+D39*60*60</f>
        <v>17684.546012263745</v>
      </c>
    </row>
    <row r="40" spans="1:6" ht="15">
      <c r="A40" s="42"/>
      <c r="B40" s="63"/>
      <c r="C40" s="65"/>
      <c r="D40" s="66"/>
      <c r="E40" s="12"/>
      <c r="F40" s="74"/>
    </row>
    <row r="41" spans="1:6" ht="15">
      <c r="A41" s="13"/>
      <c r="B41" s="63" t="s">
        <v>43</v>
      </c>
      <c r="C41" s="12"/>
      <c r="D41" s="46">
        <f>D45+D47-D46</f>
        <v>33</v>
      </c>
      <c r="E41" s="75" t="s">
        <v>22</v>
      </c>
      <c r="F41" s="72"/>
    </row>
    <row r="42" spans="1:6" ht="15">
      <c r="A42" s="13"/>
      <c r="B42" s="67" t="s">
        <v>50</v>
      </c>
      <c r="C42" s="68" t="s">
        <v>51</v>
      </c>
      <c r="D42" s="69">
        <f>D41+D36+D54-D46</f>
        <v>-80.56782220139442</v>
      </c>
      <c r="E42" s="76" t="s">
        <v>22</v>
      </c>
      <c r="F42" s="77"/>
    </row>
    <row r="43" spans="1:6" ht="14.25" hidden="1">
      <c r="A43" s="10" t="s">
        <v>36</v>
      </c>
      <c r="B43" s="11"/>
      <c r="C43" s="12"/>
      <c r="D43" s="11"/>
      <c r="E43" s="12"/>
      <c r="F43" s="6"/>
    </row>
    <row r="44" spans="1:7" ht="12.75" hidden="1">
      <c r="A44" s="13"/>
      <c r="B44" s="11"/>
      <c r="C44" s="12"/>
      <c r="D44" s="11"/>
      <c r="E44" s="12"/>
      <c r="F44" s="6"/>
      <c r="G44">
        <f>+D39*60*60</f>
        <v>17684.546012263745</v>
      </c>
    </row>
    <row r="45" spans="1:7" ht="12.75" hidden="1">
      <c r="A45" s="13" t="s">
        <v>37</v>
      </c>
      <c r="B45" s="11" t="s">
        <v>38</v>
      </c>
      <c r="C45" s="12" t="s">
        <v>21</v>
      </c>
      <c r="D45" s="11">
        <f>D22</f>
        <v>23</v>
      </c>
      <c r="E45" s="14" t="s">
        <v>22</v>
      </c>
      <c r="F45" s="6"/>
      <c r="G45" s="15"/>
    </row>
    <row r="46" spans="1:7" ht="12.75" hidden="1">
      <c r="A46" s="13" t="s">
        <v>39</v>
      </c>
      <c r="B46" s="11" t="s">
        <v>40</v>
      </c>
      <c r="C46" s="12" t="s">
        <v>12</v>
      </c>
      <c r="D46" s="11">
        <f>D19</f>
        <v>5</v>
      </c>
      <c r="E46" s="14" t="s">
        <v>13</v>
      </c>
      <c r="F46" s="6"/>
      <c r="G46" s="15"/>
    </row>
    <row r="47" spans="1:7" ht="12.75" hidden="1">
      <c r="A47" s="13"/>
      <c r="B47" s="11" t="s">
        <v>41</v>
      </c>
      <c r="C47" s="12" t="s">
        <v>42</v>
      </c>
      <c r="D47" s="11">
        <f>D21</f>
        <v>15</v>
      </c>
      <c r="E47" s="14" t="s">
        <v>13</v>
      </c>
      <c r="F47" s="6"/>
      <c r="G47" s="15"/>
    </row>
    <row r="48" spans="1:7" ht="12.75" hidden="1">
      <c r="A48" s="13"/>
      <c r="B48" s="42"/>
      <c r="C48" s="42"/>
      <c r="G48" s="15"/>
    </row>
    <row r="49" spans="1:7" ht="12.75" hidden="1">
      <c r="A49" s="13"/>
      <c r="B49" s="11"/>
      <c r="C49" s="12"/>
      <c r="D49" s="11"/>
      <c r="E49" s="16"/>
      <c r="F49" s="6"/>
      <c r="G49" s="15"/>
    </row>
    <row r="50" spans="1:7" ht="12.75" hidden="1">
      <c r="A50" s="13" t="s">
        <v>44</v>
      </c>
      <c r="B50" s="11" t="s">
        <v>45</v>
      </c>
      <c r="C50" s="12" t="s">
        <v>16</v>
      </c>
      <c r="D50" s="11">
        <f>D20</f>
        <v>2400</v>
      </c>
      <c r="E50" s="12" t="s">
        <v>17</v>
      </c>
      <c r="F50" s="6"/>
      <c r="G50" s="15"/>
    </row>
    <row r="51" spans="1:7" ht="12.75" hidden="1">
      <c r="A51" s="13"/>
      <c r="B51" s="11" t="s">
        <v>28</v>
      </c>
      <c r="C51" s="12" t="s">
        <v>29</v>
      </c>
      <c r="D51" s="11">
        <f>D27</f>
        <v>15</v>
      </c>
      <c r="E51" s="12" t="s">
        <v>30</v>
      </c>
      <c r="F51" s="6"/>
      <c r="G51" s="15"/>
    </row>
    <row r="52" spans="1:7" ht="12.75" hidden="1">
      <c r="A52" s="13"/>
      <c r="B52" s="42"/>
      <c r="C52" s="42"/>
      <c r="G52" s="15"/>
    </row>
    <row r="53" spans="1:7" ht="12.75" hidden="1">
      <c r="A53" s="13"/>
      <c r="B53" s="11"/>
      <c r="C53" s="12"/>
      <c r="D53" s="11"/>
      <c r="E53" s="16"/>
      <c r="F53" s="6"/>
      <c r="G53" s="15"/>
    </row>
    <row r="54" spans="1:7" ht="12.75" hidden="1">
      <c r="A54" s="13" t="s">
        <v>48</v>
      </c>
      <c r="B54" s="11" t="s">
        <v>49</v>
      </c>
      <c r="C54" s="12" t="s">
        <v>25</v>
      </c>
      <c r="D54" s="11">
        <f>D23</f>
        <v>15</v>
      </c>
      <c r="E54" s="12" t="s">
        <v>19</v>
      </c>
      <c r="F54" s="6"/>
      <c r="G54" s="15"/>
    </row>
    <row r="55" spans="1:7" ht="12.75" hidden="1">
      <c r="A55" s="13" t="s">
        <v>39</v>
      </c>
      <c r="B55" s="11" t="s">
        <v>40</v>
      </c>
      <c r="C55" s="12" t="s">
        <v>12</v>
      </c>
      <c r="D55" s="11">
        <f>D19</f>
        <v>5</v>
      </c>
      <c r="E55" s="12" t="s">
        <v>13</v>
      </c>
      <c r="F55" s="6"/>
      <c r="G55" s="15"/>
    </row>
    <row r="56" spans="1:7" ht="12.75" hidden="1">
      <c r="A56" s="13"/>
      <c r="B56" s="42"/>
      <c r="C56" s="42"/>
      <c r="F56" s="6"/>
      <c r="G56" s="15"/>
    </row>
    <row r="57" spans="1:9" ht="12.75" hidden="1">
      <c r="A57" s="13"/>
      <c r="B57" s="11" t="s">
        <v>26</v>
      </c>
      <c r="C57" s="12"/>
      <c r="D57" s="11">
        <f>D24</f>
        <v>-84</v>
      </c>
      <c r="E57" s="14" t="s">
        <v>22</v>
      </c>
      <c r="F57" s="6"/>
      <c r="G57" s="15"/>
      <c r="I57">
        <f>2.5/1000000</f>
        <v>2.5E-06</v>
      </c>
    </row>
    <row r="58" spans="1:9" ht="12.75" hidden="1">
      <c r="A58" s="13"/>
      <c r="B58" s="11"/>
      <c r="C58" s="12"/>
      <c r="D58" s="11"/>
      <c r="E58" s="14"/>
      <c r="F58" s="6"/>
      <c r="G58" s="15"/>
      <c r="I58">
        <v>0.25</v>
      </c>
    </row>
    <row r="59" spans="1:9" ht="12.75" hidden="1">
      <c r="A59" s="13" t="s">
        <v>52</v>
      </c>
      <c r="B59" s="11" t="s">
        <v>53</v>
      </c>
      <c r="C59" s="12"/>
      <c r="D59" s="35">
        <f>D42-D57</f>
        <v>3.4321777986055793</v>
      </c>
      <c r="E59" s="14" t="s">
        <v>13</v>
      </c>
      <c r="F59" s="6"/>
      <c r="G59" s="15"/>
      <c r="I59">
        <v>1</v>
      </c>
    </row>
    <row r="60" spans="1:9" ht="12.75">
      <c r="A60" s="11"/>
      <c r="B60" s="11"/>
      <c r="C60" s="11"/>
      <c r="D60" s="11"/>
      <c r="E60" s="17"/>
      <c r="F60" s="11"/>
      <c r="G60" s="18"/>
      <c r="I60">
        <f>2500/1000</f>
        <v>2.5</v>
      </c>
    </row>
    <row r="61" spans="1:9" ht="12.75" hidden="1">
      <c r="A61" s="13" t="s">
        <v>60</v>
      </c>
      <c r="B61" s="11"/>
      <c r="C61" s="11"/>
      <c r="D61" s="11"/>
      <c r="E61" s="17"/>
      <c r="F61" s="11"/>
      <c r="G61" s="18"/>
      <c r="I61">
        <f>+(40/1.6)^3</f>
        <v>15625</v>
      </c>
    </row>
    <row r="62" spans="1:9" ht="12.75" hidden="1">
      <c r="A62" s="4"/>
      <c r="B62" s="5" t="s">
        <v>62</v>
      </c>
      <c r="C62" s="23" t="s">
        <v>64</v>
      </c>
      <c r="D62" s="4"/>
      <c r="E62" s="19"/>
      <c r="F62" s="4"/>
      <c r="G62" s="18"/>
      <c r="I62">
        <f>10^(-40/10)</f>
        <v>0.0001</v>
      </c>
    </row>
    <row r="63" spans="1:7" ht="12.75" hidden="1">
      <c r="A63" s="4"/>
      <c r="B63" s="4" t="s">
        <v>54</v>
      </c>
      <c r="C63" s="4">
        <v>0.25</v>
      </c>
      <c r="D63" s="4"/>
      <c r="E63" s="4"/>
      <c r="F63" s="4"/>
      <c r="G63" s="4"/>
    </row>
    <row r="64" spans="1:9" ht="12.75" hidden="1">
      <c r="A64" s="4"/>
      <c r="B64" s="4" t="s">
        <v>55</v>
      </c>
      <c r="C64" s="4">
        <v>0.1</v>
      </c>
      <c r="D64" s="4"/>
      <c r="E64" s="4"/>
      <c r="F64" s="4"/>
      <c r="G64" s="4"/>
      <c r="I64">
        <f>1-I57*I58*I59*I60*I61*I62</f>
        <v>0.99999755859375</v>
      </c>
    </row>
    <row r="65" spans="1:7" ht="12.75" hidden="1">
      <c r="A65" s="4"/>
      <c r="B65" s="4" t="s">
        <v>56</v>
      </c>
      <c r="C65" s="4">
        <v>0.5</v>
      </c>
      <c r="D65" s="4"/>
      <c r="E65" s="4"/>
      <c r="F65" s="4"/>
      <c r="G65" s="4"/>
    </row>
    <row r="66" spans="1:9" ht="12.75" hidden="1">
      <c r="A66" s="4"/>
      <c r="B66" s="4"/>
      <c r="C66" s="4"/>
      <c r="D66" s="4"/>
      <c r="E66" s="4"/>
      <c r="F66" s="4"/>
      <c r="G66" s="4"/>
      <c r="I66" s="34"/>
    </row>
    <row r="67" spans="2:9" ht="12.75" hidden="1">
      <c r="B67" s="21" t="s">
        <v>63</v>
      </c>
      <c r="C67" s="24" t="s">
        <v>65</v>
      </c>
      <c r="I67" s="33">
        <f>(525600-I64*525600)/60</f>
        <v>0.02138671875</v>
      </c>
    </row>
    <row r="68" spans="2:3" ht="12.75" hidden="1">
      <c r="B68" t="s">
        <v>54</v>
      </c>
      <c r="C68">
        <v>1</v>
      </c>
    </row>
    <row r="69" spans="2:9" ht="12.75" hidden="1">
      <c r="B69" t="s">
        <v>57</v>
      </c>
      <c r="C69">
        <v>0.25</v>
      </c>
      <c r="I69">
        <f>+I67*60*60</f>
        <v>76.9921875</v>
      </c>
    </row>
    <row r="70" spans="2:3" ht="12.75" hidden="1">
      <c r="B70" t="s">
        <v>58</v>
      </c>
      <c r="C70">
        <v>4</v>
      </c>
    </row>
    <row r="71" ht="12.75" hidden="1">
      <c r="I71" s="39">
        <f>365*24*60</f>
        <v>525600</v>
      </c>
    </row>
    <row r="72" spans="1:4" ht="12.75" hidden="1">
      <c r="A72" t="s">
        <v>61</v>
      </c>
      <c r="B72" s="20" t="s">
        <v>67</v>
      </c>
      <c r="D72" s="20" t="s">
        <v>68</v>
      </c>
    </row>
    <row r="73" spans="2:5" ht="12.75">
      <c r="B73" s="20"/>
      <c r="C73" s="29"/>
      <c r="D73" s="20"/>
      <c r="E73" s="30"/>
    </row>
    <row r="74" spans="2:3" ht="12.75" hidden="1">
      <c r="B74" s="21" t="s">
        <v>60</v>
      </c>
      <c r="C74" s="22">
        <f>(1-2.5/1000000*D30*D31*D20/1000*(D27/1.6)^3*10^(-D59/10))</f>
        <v>0.9994392267246238</v>
      </c>
    </row>
    <row r="75" spans="2:3" ht="12.75" hidden="1">
      <c r="B75" s="21" t="s">
        <v>59</v>
      </c>
      <c r="C75" s="33">
        <f>(525600-C74*525600)/60</f>
        <v>4.912373892295485</v>
      </c>
    </row>
    <row r="76" ht="12.75" hidden="1"/>
    <row r="77" ht="12.75" hidden="1">
      <c r="B77" t="s">
        <v>66</v>
      </c>
    </row>
    <row r="78" ht="12.75" hidden="1"/>
    <row r="79" spans="1:5" ht="12.75" hidden="1">
      <c r="A79" s="5" t="s">
        <v>32</v>
      </c>
      <c r="B79" s="4" t="s">
        <v>33</v>
      </c>
      <c r="C79" s="8" t="s">
        <v>34</v>
      </c>
      <c r="D79" s="9">
        <v>300000000</v>
      </c>
      <c r="E79" s="8" t="s">
        <v>35</v>
      </c>
    </row>
  </sheetData>
  <dataValidations count="2">
    <dataValidation type="list" showInputMessage="1" showErrorMessage="1" promptTitle="Climate Factor" prompt="Average    0.25&#10;Dry            0.1&#10;Humid        0.5" sqref="D30">
      <formula1>$C$63:$C$65</formula1>
    </dataValidation>
    <dataValidation type="list" allowBlank="1" showInputMessage="1" showErrorMessage="1" promptTitle="Terrain Factor" prompt="Average        1&#10;Mountainous  0.25&#10;Smooth          4" sqref="D31">
      <formula1>$C$68:$C$70</formula1>
    </dataValidation>
  </dataValidation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0" r:id="rId2"/>
  <headerFooter alignWithMargins="0">
    <oddFooter>&amp;L&amp;A&amp;CPage &amp;P of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43"/>
  <sheetViews>
    <sheetView showGridLines="0" workbookViewId="0" topLeftCell="A13">
      <selection activeCell="B33" sqref="B33"/>
    </sheetView>
  </sheetViews>
  <sheetFormatPr defaultColWidth="11.421875" defaultRowHeight="12.75"/>
  <cols>
    <col min="1" max="5" width="9.140625" style="0" customWidth="1"/>
    <col min="6" max="6" width="12.140625" style="0" customWidth="1"/>
    <col min="7" max="16384" width="9.140625" style="0" customWidth="1"/>
  </cols>
  <sheetData>
    <row r="2" ht="18">
      <c r="G2" s="36" t="s">
        <v>90</v>
      </c>
    </row>
    <row r="8" spans="4:8" ht="12.75">
      <c r="D8" s="37">
        <v>30</v>
      </c>
      <c r="H8" s="37">
        <v>0.6</v>
      </c>
    </row>
    <row r="9" spans="4:8" ht="12.75">
      <c r="D9" s="37">
        <v>20</v>
      </c>
      <c r="H9" s="37">
        <v>5.8</v>
      </c>
    </row>
    <row r="10" ht="12.75">
      <c r="D10" s="37">
        <v>50</v>
      </c>
    </row>
    <row r="11" spans="4:11" ht="12.75" hidden="1">
      <c r="D11" s="91"/>
      <c r="H11" s="56">
        <v>6371</v>
      </c>
      <c r="K11" s="56">
        <f>4/3</f>
        <v>1.3333333333333333</v>
      </c>
    </row>
    <row r="14" spans="2:7" ht="38.25">
      <c r="B14" s="26" t="s">
        <v>89</v>
      </c>
      <c r="C14" s="26" t="s">
        <v>85</v>
      </c>
      <c r="D14" s="26" t="s">
        <v>87</v>
      </c>
      <c r="E14" s="26" t="s">
        <v>86</v>
      </c>
      <c r="F14" s="26" t="s">
        <v>99</v>
      </c>
      <c r="G14" s="51" t="s">
        <v>100</v>
      </c>
    </row>
    <row r="15" spans="2:7" ht="12.75">
      <c r="B15" s="31">
        <f>Calculations!B7</f>
        <v>0</v>
      </c>
      <c r="C15" s="31">
        <f>Calculations!F7</f>
        <v>20</v>
      </c>
      <c r="D15" s="31">
        <f>Calculations!G7</f>
        <v>20</v>
      </c>
      <c r="E15" s="31">
        <f>Calculations!I7</f>
        <v>0</v>
      </c>
      <c r="F15" s="52">
        <v>0</v>
      </c>
      <c r="G15" s="53">
        <f>+F15+E15</f>
        <v>0</v>
      </c>
    </row>
    <row r="16" spans="2:7" ht="12.75">
      <c r="B16" s="31">
        <f>Calculations!B8</f>
        <v>1.5</v>
      </c>
      <c r="C16" s="31">
        <f>Calculations!F8</f>
        <v>21.5</v>
      </c>
      <c r="D16" s="31">
        <f>Calculations!G8</f>
        <v>16.35493591072389</v>
      </c>
      <c r="E16" s="31">
        <f>Calculations!I8</f>
        <v>2.516284727672266</v>
      </c>
      <c r="F16" s="54">
        <v>0</v>
      </c>
      <c r="G16" s="31">
        <f aca="true" t="shared" si="0" ref="G16:G35">+F16+E16</f>
        <v>2.516284727672266</v>
      </c>
    </row>
    <row r="17" spans="2:7" ht="12.75">
      <c r="B17" s="31">
        <f>Calculations!B9</f>
        <v>3</v>
      </c>
      <c r="C17" s="31">
        <f>Calculations!F9</f>
        <v>23</v>
      </c>
      <c r="D17" s="31">
        <f>Calculations!G9</f>
        <v>15.917848076885885</v>
      </c>
      <c r="E17" s="31">
        <f>Calculations!I9</f>
        <v>4.767697378747451</v>
      </c>
      <c r="F17" s="54">
        <v>0</v>
      </c>
      <c r="G17" s="31">
        <f t="shared" si="0"/>
        <v>4.767697378747451</v>
      </c>
    </row>
    <row r="18" spans="2:7" ht="12.75">
      <c r="B18" s="31">
        <f>Calculations!B10</f>
        <v>4.5</v>
      </c>
      <c r="C18" s="31">
        <f>Calculations!F10</f>
        <v>24.5</v>
      </c>
      <c r="D18" s="31">
        <f>Calculations!G10</f>
        <v>16.07055315350224</v>
      </c>
      <c r="E18" s="31">
        <f>Calculations!I10</f>
        <v>6.754237953225554</v>
      </c>
      <c r="F18" s="54">
        <v>0</v>
      </c>
      <c r="G18" s="31">
        <f t="shared" si="0"/>
        <v>6.754237953225554</v>
      </c>
    </row>
    <row r="19" spans="2:7" ht="12.75">
      <c r="B19" s="31">
        <f>Calculations!B11</f>
        <v>6</v>
      </c>
      <c r="C19" s="31">
        <f>Calculations!F11</f>
        <v>26</v>
      </c>
      <c r="D19" s="31">
        <f>Calculations!G11</f>
        <v>16.557130769181178</v>
      </c>
      <c r="E19" s="31">
        <f>Calculations!I11</f>
        <v>8.475906451106578</v>
      </c>
      <c r="F19" s="54">
        <v>0</v>
      </c>
      <c r="G19" s="31">
        <f t="shared" si="0"/>
        <v>8.475906451106578</v>
      </c>
    </row>
    <row r="20" spans="2:7" ht="12.75">
      <c r="B20" s="31">
        <f>Calculations!B12</f>
        <v>7.5</v>
      </c>
      <c r="C20" s="31">
        <f>Calculations!F12</f>
        <v>27.5</v>
      </c>
      <c r="D20" s="31">
        <f>Calculations!G12</f>
        <v>17.2777942018706</v>
      </c>
      <c r="E20" s="31">
        <f>Calculations!I12</f>
        <v>9.932702872390522</v>
      </c>
      <c r="F20" s="54">
        <v>0</v>
      </c>
      <c r="G20" s="31">
        <f t="shared" si="0"/>
        <v>9.932702872390522</v>
      </c>
    </row>
    <row r="21" spans="2:7" ht="12.75">
      <c r="B21" s="31">
        <f>Calculations!B13</f>
        <v>9</v>
      </c>
      <c r="C21" s="31">
        <f>Calculations!F13</f>
        <v>29</v>
      </c>
      <c r="D21" s="31">
        <f>Calculations!G13</f>
        <v>18.18183424305083</v>
      </c>
      <c r="E21" s="31">
        <f>Calculations!I13</f>
        <v>11.124627217077384</v>
      </c>
      <c r="F21" s="54">
        <v>0</v>
      </c>
      <c r="G21" s="31">
        <f t="shared" si="0"/>
        <v>11.124627217077384</v>
      </c>
    </row>
    <row r="22" spans="2:7" ht="12.75">
      <c r="B22" s="31">
        <f>Calculations!B14</f>
        <v>10.5</v>
      </c>
      <c r="C22" s="31">
        <f>Calculations!F14</f>
        <v>30.5</v>
      </c>
      <c r="D22" s="31">
        <f>Calculations!G14</f>
        <v>19.24009608358506</v>
      </c>
      <c r="E22" s="31">
        <f>Calculations!I14</f>
        <v>12.051679485167165</v>
      </c>
      <c r="F22" s="54">
        <v>0</v>
      </c>
      <c r="G22" s="31">
        <f t="shared" si="0"/>
        <v>12.051679485167165</v>
      </c>
    </row>
    <row r="23" spans="2:7" ht="12.75">
      <c r="B23" s="31">
        <f>Calculations!B15</f>
        <v>12</v>
      </c>
      <c r="C23" s="31">
        <f>Calculations!F15</f>
        <v>32</v>
      </c>
      <c r="D23" s="31">
        <f>Calculations!G15</f>
        <v>20.43489433833321</v>
      </c>
      <c r="E23" s="31">
        <f>Calculations!I15</f>
        <v>12.713859676659867</v>
      </c>
      <c r="F23" s="54">
        <v>0</v>
      </c>
      <c r="G23" s="31">
        <f t="shared" si="0"/>
        <v>12.713859676659867</v>
      </c>
    </row>
    <row r="24" spans="2:7" ht="12.75">
      <c r="B24" s="31">
        <f>Calculations!B16</f>
        <v>13.5</v>
      </c>
      <c r="C24" s="31">
        <f>Calculations!F16</f>
        <v>33.5</v>
      </c>
      <c r="D24" s="31">
        <f>Calculations!G16</f>
        <v>21.755579681368275</v>
      </c>
      <c r="E24" s="31">
        <f>Calculations!I16</f>
        <v>13.111167791555486</v>
      </c>
      <c r="F24" s="54">
        <v>0</v>
      </c>
      <c r="G24" s="31">
        <f t="shared" si="0"/>
        <v>13.111167791555486</v>
      </c>
    </row>
    <row r="25" spans="2:7" ht="12.75">
      <c r="B25" s="31">
        <f>Calculations!B17</f>
        <v>15</v>
      </c>
      <c r="C25" s="31">
        <f>Calculations!F17</f>
        <v>35</v>
      </c>
      <c r="D25" s="31">
        <f>Calculations!G17</f>
        <v>23.196413461476475</v>
      </c>
      <c r="E25" s="31">
        <f>Calculations!I17</f>
        <v>13.243603829854028</v>
      </c>
      <c r="F25" s="54">
        <v>0</v>
      </c>
      <c r="G25" s="31">
        <f t="shared" si="0"/>
        <v>13.243603829854028</v>
      </c>
    </row>
    <row r="26" spans="2:7" ht="12.75">
      <c r="B26" s="31">
        <f>Calculations!B18</f>
        <v>16.5</v>
      </c>
      <c r="C26" s="31">
        <f>Calculations!F18</f>
        <v>36.5</v>
      </c>
      <c r="D26" s="31">
        <f>Calculations!G18</f>
        <v>24.755579681368275</v>
      </c>
      <c r="E26" s="31">
        <f>Calculations!I18</f>
        <v>13.111167791555486</v>
      </c>
      <c r="F26" s="54">
        <v>0</v>
      </c>
      <c r="G26" s="31">
        <f t="shared" si="0"/>
        <v>13.111167791555486</v>
      </c>
    </row>
    <row r="27" spans="2:7" ht="12.75">
      <c r="B27" s="31">
        <f>Calculations!B19</f>
        <v>18</v>
      </c>
      <c r="C27" s="31">
        <f>Calculations!F19</f>
        <v>38</v>
      </c>
      <c r="D27" s="31">
        <f>Calculations!G19</f>
        <v>26.43489433833321</v>
      </c>
      <c r="E27" s="31">
        <f>Calculations!I19</f>
        <v>12.713859676659867</v>
      </c>
      <c r="F27" s="54">
        <v>0</v>
      </c>
      <c r="G27" s="31">
        <f t="shared" si="0"/>
        <v>12.713859676659867</v>
      </c>
    </row>
    <row r="28" spans="2:7" ht="12.75">
      <c r="B28" s="31">
        <f>Calculations!B20</f>
        <v>19.5</v>
      </c>
      <c r="C28" s="31">
        <f>Calculations!F20</f>
        <v>39.5</v>
      </c>
      <c r="D28" s="31">
        <f>Calculations!G20</f>
        <v>28.24009608358506</v>
      </c>
      <c r="E28" s="31">
        <f>Calculations!I20</f>
        <v>12.051679485167165</v>
      </c>
      <c r="F28" s="54">
        <v>0</v>
      </c>
      <c r="G28" s="31">
        <f t="shared" si="0"/>
        <v>12.051679485167165</v>
      </c>
    </row>
    <row r="29" spans="2:7" ht="12.75">
      <c r="B29" s="31">
        <f>Calculations!B21</f>
        <v>21</v>
      </c>
      <c r="C29" s="31">
        <f>Calculations!F21</f>
        <v>41</v>
      </c>
      <c r="D29" s="31">
        <f>Calculations!G21</f>
        <v>30.18183424305083</v>
      </c>
      <c r="E29" s="31">
        <f>Calculations!I21</f>
        <v>11.124627217077384</v>
      </c>
      <c r="F29" s="54">
        <v>0</v>
      </c>
      <c r="G29" s="31">
        <f t="shared" si="0"/>
        <v>11.124627217077384</v>
      </c>
    </row>
    <row r="30" spans="2:7" ht="12.75">
      <c r="B30" s="31">
        <f>Calculations!B22</f>
        <v>22.5</v>
      </c>
      <c r="C30" s="31">
        <f>Calculations!F22</f>
        <v>42.5</v>
      </c>
      <c r="D30" s="31">
        <f>Calculations!G22</f>
        <v>32.2777942018706</v>
      </c>
      <c r="E30" s="31">
        <f>Calculations!I22</f>
        <v>9.932702872390522</v>
      </c>
      <c r="F30" s="54">
        <v>0</v>
      </c>
      <c r="G30" s="31">
        <f t="shared" si="0"/>
        <v>9.932702872390522</v>
      </c>
    </row>
    <row r="31" spans="2:7" ht="12.75">
      <c r="B31" s="31">
        <f>Calculations!B23</f>
        <v>24</v>
      </c>
      <c r="C31" s="31">
        <f>Calculations!F23</f>
        <v>44</v>
      </c>
      <c r="D31" s="31">
        <f>Calculations!G23</f>
        <v>34.55713076918118</v>
      </c>
      <c r="E31" s="31">
        <f>Calculations!I23</f>
        <v>8.475906451106578</v>
      </c>
      <c r="F31" s="54">
        <v>0</v>
      </c>
      <c r="G31" s="31">
        <f t="shared" si="0"/>
        <v>8.475906451106578</v>
      </c>
    </row>
    <row r="32" spans="2:7" ht="12.75">
      <c r="B32" s="31">
        <f>Calculations!B24</f>
        <v>25.5</v>
      </c>
      <c r="C32" s="31">
        <f>Calculations!F24</f>
        <v>45.5</v>
      </c>
      <c r="D32" s="31">
        <f>Calculations!G24</f>
        <v>37.07055315350224</v>
      </c>
      <c r="E32" s="31">
        <f>Calculations!I24</f>
        <v>6.754237953225554</v>
      </c>
      <c r="F32" s="54">
        <v>0</v>
      </c>
      <c r="G32" s="31">
        <f t="shared" si="0"/>
        <v>6.754237953225554</v>
      </c>
    </row>
    <row r="33" spans="2:7" ht="12.75">
      <c r="B33" s="31">
        <f>Calculations!B25</f>
        <v>27</v>
      </c>
      <c r="C33" s="31">
        <f>Calculations!F25</f>
        <v>47</v>
      </c>
      <c r="D33" s="31">
        <f>Calculations!G25</f>
        <v>39.91784807688588</v>
      </c>
      <c r="E33" s="31">
        <f>Calculations!I25</f>
        <v>4.767697378747451</v>
      </c>
      <c r="F33" s="54">
        <v>0</v>
      </c>
      <c r="G33" s="31">
        <f t="shared" si="0"/>
        <v>4.767697378747451</v>
      </c>
    </row>
    <row r="34" spans="2:7" ht="12.75">
      <c r="B34" s="31">
        <f>Calculations!B26</f>
        <v>28.5</v>
      </c>
      <c r="C34" s="31">
        <f>Calculations!F26</f>
        <v>48.5</v>
      </c>
      <c r="D34" s="31">
        <f>Calculations!G26</f>
        <v>43.35493591072389</v>
      </c>
      <c r="E34" s="31">
        <f>Calculations!I26</f>
        <v>2.516284727672266</v>
      </c>
      <c r="F34" s="54">
        <v>0</v>
      </c>
      <c r="G34" s="31">
        <f t="shared" si="0"/>
        <v>2.516284727672266</v>
      </c>
    </row>
    <row r="35" spans="2:7" ht="12.75">
      <c r="B35" s="32">
        <f>Calculations!B27</f>
        <v>30</v>
      </c>
      <c r="C35" s="32">
        <f>Calculations!F27</f>
        <v>50</v>
      </c>
      <c r="D35" s="32">
        <f>Calculations!G27</f>
        <v>50</v>
      </c>
      <c r="E35" s="32">
        <f>Calculations!I27</f>
        <v>0</v>
      </c>
      <c r="F35" s="55">
        <v>0</v>
      </c>
      <c r="G35" s="32">
        <f t="shared" si="0"/>
        <v>0</v>
      </c>
    </row>
    <row r="37" spans="3:13" ht="12.75"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</row>
    <row r="38" spans="3:13" ht="12.75"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</row>
    <row r="39" spans="3:13" ht="12.75"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</row>
    <row r="40" spans="2:13" ht="12.75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</row>
    <row r="41" ht="12.75">
      <c r="B41" s="28"/>
    </row>
    <row r="42" ht="12.75">
      <c r="B42" s="28"/>
    </row>
    <row r="43" ht="12.75">
      <c r="B43" s="28"/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7" r:id="rId3"/>
  <headerFooter alignWithMargins="0">
    <oddFooter>&amp;L&amp;A&amp;CPage &amp;Pof &amp;N&amp;R&amp;D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52"/>
  <sheetViews>
    <sheetView showGridLines="0" workbookViewId="0" topLeftCell="A15">
      <selection activeCell="A1" sqref="A1"/>
    </sheetView>
  </sheetViews>
  <sheetFormatPr defaultColWidth="11.421875" defaultRowHeight="12.75"/>
  <cols>
    <col min="1" max="1" width="2.28125" style="0" customWidth="1"/>
    <col min="2" max="2" width="14.421875" style="0" customWidth="1"/>
    <col min="3" max="3" width="1.421875" style="0" customWidth="1"/>
    <col min="4" max="6" width="9.140625" style="0" customWidth="1"/>
    <col min="7" max="7" width="11.140625" style="0" customWidth="1"/>
    <col min="9" max="16384" width="9.140625" style="0" customWidth="1"/>
  </cols>
  <sheetData>
    <row r="2" ht="18">
      <c r="H2" s="36" t="s">
        <v>123</v>
      </c>
    </row>
    <row r="3" ht="18">
      <c r="H3" s="36" t="s">
        <v>124</v>
      </c>
    </row>
    <row r="9" spans="4:12" ht="12.75">
      <c r="D9" s="20" t="s">
        <v>103</v>
      </c>
      <c r="E9" s="20" t="s">
        <v>104</v>
      </c>
      <c r="F9" s="20" t="s">
        <v>105</v>
      </c>
      <c r="G9" s="20" t="s">
        <v>106</v>
      </c>
      <c r="H9" s="20" t="s">
        <v>107</v>
      </c>
      <c r="L9" s="78"/>
    </row>
    <row r="10" spans="2:12" ht="12.75">
      <c r="B10" s="79" t="s">
        <v>108</v>
      </c>
      <c r="C10" s="79"/>
      <c r="D10" s="89">
        <v>34</v>
      </c>
      <c r="E10" s="89">
        <v>4</v>
      </c>
      <c r="F10" s="89">
        <v>5</v>
      </c>
      <c r="G10" s="90" t="s">
        <v>109</v>
      </c>
      <c r="H10" s="80">
        <f>IF(G10="S",-(+D10+(E10/60)+F10/3600),+D10+(E10/60)+F10/3600)</f>
        <v>-34.06805555555556</v>
      </c>
      <c r="I10" s="78"/>
      <c r="L10" s="78"/>
    </row>
    <row r="11" spans="2:9" ht="12.75">
      <c r="B11" s="79" t="s">
        <v>110</v>
      </c>
      <c r="C11" s="79"/>
      <c r="D11" s="89">
        <v>18</v>
      </c>
      <c r="E11" s="89">
        <v>27</v>
      </c>
      <c r="F11" s="89">
        <v>44</v>
      </c>
      <c r="G11" s="90" t="s">
        <v>111</v>
      </c>
      <c r="H11" s="80">
        <f>IF(G11="S",-(+D11+(E11/60)+F11/3600),+D11+(E11/60)+F11/3600)</f>
        <v>18.46222222222222</v>
      </c>
      <c r="I11" s="78"/>
    </row>
    <row r="12" spans="2:9" ht="12.75">
      <c r="B12" s="81" t="s">
        <v>112</v>
      </c>
      <c r="C12" s="81"/>
      <c r="D12" s="89">
        <v>34</v>
      </c>
      <c r="E12" s="89">
        <v>7</v>
      </c>
      <c r="F12" s="89">
        <v>47</v>
      </c>
      <c r="G12" s="90" t="s">
        <v>109</v>
      </c>
      <c r="H12" s="82">
        <f>IF(G12="S",-(+D12+(E12/60)+F12/3600),+D12+(E12/60)+F12/3600)</f>
        <v>-34.12972222222222</v>
      </c>
      <c r="I12" s="78"/>
    </row>
    <row r="13" spans="2:8" ht="12.75">
      <c r="B13" s="81" t="s">
        <v>113</v>
      </c>
      <c r="C13" s="81"/>
      <c r="D13" s="89">
        <v>18</v>
      </c>
      <c r="E13" s="89">
        <v>24</v>
      </c>
      <c r="F13" s="89">
        <v>12</v>
      </c>
      <c r="G13" s="90" t="s">
        <v>111</v>
      </c>
      <c r="H13" s="82">
        <f>IF(G13="S",-(+D13+(E13/60)+F13/3600),+D13+(E13/60)+F13/3600)</f>
        <v>18.403333333333332</v>
      </c>
    </row>
    <row r="14" spans="2:14" ht="12.7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ht="12.75">
      <c r="H15" s="4"/>
    </row>
    <row r="17" ht="12.75">
      <c r="D17" s="83">
        <f>ACOS(SIN(+H10*PI()/180)*SIN(+H12*PI()/180)+COS(+H10*PI()/180)*COS(+H12*PI()/180)*COS((+H11-H13)*PI()/180))</f>
        <v>0.0013721356018125963</v>
      </c>
    </row>
    <row r="18" spans="2:14" ht="12.75">
      <c r="B18" t="s">
        <v>120</v>
      </c>
      <c r="D18" s="84">
        <f>1.852*(D17*180*60/PI())</f>
        <v>8.73598536775748</v>
      </c>
      <c r="E18" t="s">
        <v>70</v>
      </c>
      <c r="N18" s="84"/>
    </row>
    <row r="19" spans="2:14" ht="12.75">
      <c r="B19" t="s">
        <v>120</v>
      </c>
      <c r="D19" s="84">
        <f>+D18/1.609344</f>
        <v>5.42828964333137</v>
      </c>
      <c r="E19" t="s">
        <v>95</v>
      </c>
      <c r="N19" s="84"/>
    </row>
    <row r="20" spans="2:11" ht="12.75">
      <c r="B20" t="s">
        <v>121</v>
      </c>
      <c r="D20" s="84">
        <f>IF(+SIN((+H13-H11)*PI()/180)&lt;0,(180/PI())*(2*PI()-ACOS((SIN(+H12*PI()/180)-SIN(+H10*PI()/180)*COS(+D17))/(SIN(+D17)*COS(+H10*PI()/180)))),(180/PI())*(+ACOS((SIN(+H12*PI()/180)-SIN(+H10*PI()/180)*COS(+D17))/(SIN(+D17)*COS(+H10*PI()/180)))))</f>
        <v>218.31941112872528</v>
      </c>
      <c r="E20" t="s">
        <v>114</v>
      </c>
      <c r="G20" t="s">
        <v>115</v>
      </c>
      <c r="K20" s="85"/>
    </row>
    <row r="21" spans="2:7" ht="12.75">
      <c r="B21" t="s">
        <v>122</v>
      </c>
      <c r="D21" s="84">
        <f>IF(D20&lt;180,(+D20+180),(+D20-180))</f>
        <v>38.31941112872528</v>
      </c>
      <c r="E21" t="s">
        <v>114</v>
      </c>
      <c r="G21" t="s">
        <v>116</v>
      </c>
    </row>
    <row r="24" ht="12.75">
      <c r="B24" t="s">
        <v>117</v>
      </c>
    </row>
    <row r="25" ht="12.75">
      <c r="B25" t="s">
        <v>118</v>
      </c>
    </row>
    <row r="26" ht="12.75">
      <c r="B26" t="s">
        <v>119</v>
      </c>
    </row>
    <row r="38" spans="2:14" ht="12.75">
      <c r="B38" s="4"/>
      <c r="C38" s="4"/>
      <c r="D38" s="3"/>
      <c r="E38" s="3"/>
      <c r="F38" s="3"/>
      <c r="G38" s="3"/>
      <c r="I38" s="4"/>
      <c r="J38" s="3"/>
      <c r="K38" s="3"/>
      <c r="L38" s="3"/>
      <c r="M38" s="4"/>
      <c r="N38" s="4"/>
    </row>
    <row r="39" spans="2:14" ht="12.75">
      <c r="B39" s="4"/>
      <c r="C39" s="4"/>
      <c r="D39" s="86"/>
      <c r="E39" s="86"/>
      <c r="F39" s="86"/>
      <c r="G39" s="86"/>
      <c r="H39" s="4"/>
      <c r="I39" s="4"/>
      <c r="J39" s="86"/>
      <c r="K39" s="8"/>
      <c r="L39" s="86"/>
      <c r="M39" s="4"/>
      <c r="N39" s="4"/>
    </row>
    <row r="40" spans="2:14" ht="12.75">
      <c r="B40" s="4"/>
      <c r="C40" s="4"/>
      <c r="D40" s="87"/>
      <c r="E40" s="87"/>
      <c r="F40" s="87"/>
      <c r="G40" s="87"/>
      <c r="H40" s="87"/>
      <c r="I40" s="87"/>
      <c r="J40" s="87"/>
      <c r="K40" s="87"/>
      <c r="L40" s="87"/>
      <c r="M40" s="4"/>
      <c r="N40" s="4"/>
    </row>
    <row r="41" spans="2:14" ht="12.75">
      <c r="B41" s="4"/>
      <c r="C41" s="4"/>
      <c r="D41" s="87"/>
      <c r="E41" s="87"/>
      <c r="F41" s="87"/>
      <c r="G41" s="87"/>
      <c r="H41" s="87"/>
      <c r="I41" s="87"/>
      <c r="J41" s="87"/>
      <c r="K41" s="87"/>
      <c r="L41" s="87"/>
      <c r="M41" s="4"/>
      <c r="N41" s="4"/>
    </row>
    <row r="42" spans="2:14" ht="12.7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2:14" ht="12.7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2:14" ht="12.7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2:14" ht="12.7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2:14" ht="12.7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2:14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2:14" ht="12.7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2:14" ht="12.7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2:14" ht="12.75">
      <c r="B50" s="4"/>
      <c r="C50" s="4"/>
      <c r="D50" s="88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2:14" ht="12.7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2:14" ht="12.7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</sheetData>
  <sheetProtection sheet="1" objects="1" scenarios="1"/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8" r:id="rId2"/>
  <headerFooter alignWithMargins="0">
    <oddFooter>&amp;L&amp;A&amp;CPage &amp;P of &amp;N&amp;R&amp;D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27"/>
  <sheetViews>
    <sheetView zoomScale="75" zoomScaleNormal="75" workbookViewId="0" topLeftCell="A1">
      <selection activeCell="A2" sqref="A2:M28"/>
    </sheetView>
  </sheetViews>
  <sheetFormatPr defaultColWidth="11.421875" defaultRowHeight="12.75"/>
  <cols>
    <col min="1" max="16384" width="9.140625" style="0" customWidth="1"/>
  </cols>
  <sheetData>
    <row r="2" spans="3:6" ht="12.75">
      <c r="C2" t="s">
        <v>70</v>
      </c>
      <c r="E2" t="s">
        <v>76</v>
      </c>
      <c r="F2" t="s">
        <v>77</v>
      </c>
    </row>
    <row r="3" spans="2:13" ht="12.75">
      <c r="B3" t="s">
        <v>75</v>
      </c>
      <c r="C3">
        <f>'Fresnel Zone'!$D$8</f>
        <v>30</v>
      </c>
      <c r="E3">
        <f>'Fresnel Zone'!$D$9</f>
        <v>20</v>
      </c>
      <c r="F3">
        <f>'Fresnel Zone'!$D$10</f>
        <v>50</v>
      </c>
      <c r="H3" t="s">
        <v>78</v>
      </c>
      <c r="I3" t="s">
        <v>82</v>
      </c>
      <c r="J3" t="s">
        <v>84</v>
      </c>
      <c r="K3" t="s">
        <v>88</v>
      </c>
      <c r="M3" t="s">
        <v>91</v>
      </c>
    </row>
    <row r="4" spans="2:13" ht="12.75">
      <c r="B4" t="s">
        <v>74</v>
      </c>
      <c r="C4">
        <f>'Fresnel Zone'!$H$9</f>
        <v>5.8</v>
      </c>
      <c r="H4">
        <f>(F3-E3)/C3</f>
        <v>1</v>
      </c>
      <c r="I4">
        <v>6371</v>
      </c>
      <c r="J4" s="25">
        <f>C3/2*C3/2/2/$I$4*1000</f>
        <v>17.65813843980537</v>
      </c>
      <c r="K4">
        <f>'Fresnel Zone'!$H$8</f>
        <v>0.6</v>
      </c>
      <c r="M4">
        <f>'Fresnel Zone'!$K$11</f>
        <v>1.3333333333333333</v>
      </c>
    </row>
    <row r="5" spans="2:6" ht="12.75">
      <c r="B5" t="s">
        <v>69</v>
      </c>
      <c r="F5" t="s">
        <v>81</v>
      </c>
    </row>
    <row r="6" spans="2:7" ht="12.75">
      <c r="B6" t="s">
        <v>71</v>
      </c>
      <c r="C6" t="s">
        <v>72</v>
      </c>
      <c r="D6" t="s">
        <v>83</v>
      </c>
      <c r="E6" t="s">
        <v>73</v>
      </c>
      <c r="F6" t="s">
        <v>79</v>
      </c>
      <c r="G6" t="s">
        <v>80</v>
      </c>
    </row>
    <row r="7" spans="1:10" ht="12.75">
      <c r="A7">
        <v>0</v>
      </c>
      <c r="B7">
        <f>A7/20*$C$3</f>
        <v>0</v>
      </c>
      <c r="C7">
        <f>$C$3-B7</f>
        <v>30</v>
      </c>
      <c r="D7">
        <f aca="true" t="shared" si="0" ref="D7:D15">$B$17-B7</f>
        <v>15</v>
      </c>
      <c r="E7">
        <f>-17.3*SQRT(B7*C7/($C$4*$C$3))*$K$4</f>
        <v>0</v>
      </c>
      <c r="F7">
        <f>$H$4*B7+$E$3</f>
        <v>20</v>
      </c>
      <c r="G7">
        <f>F7+E7</f>
        <v>20</v>
      </c>
      <c r="H7" s="25">
        <f>D7*D7/2/$I$4*1000</f>
        <v>17.65813843980537</v>
      </c>
      <c r="I7" s="25">
        <f>($J$4-H7)/$M$4</f>
        <v>0</v>
      </c>
      <c r="J7" s="25"/>
    </row>
    <row r="8" spans="1:10" ht="12.75">
      <c r="A8">
        <v>1</v>
      </c>
      <c r="B8">
        <f>A8/20*$C$3</f>
        <v>1.5</v>
      </c>
      <c r="C8">
        <f aca="true" t="shared" si="1" ref="C8:C27">$C$3-B8</f>
        <v>28.5</v>
      </c>
      <c r="D8">
        <f t="shared" si="0"/>
        <v>13.5</v>
      </c>
      <c r="E8">
        <f aca="true" t="shared" si="2" ref="E8:E27">-17.3*SQRT(B8*C8/($C$4*$C$3))*$K$4</f>
        <v>-5.145064089276111</v>
      </c>
      <c r="F8">
        <f aca="true" t="shared" si="3" ref="F8:F27">$H$4*B8+$E$3</f>
        <v>21.5</v>
      </c>
      <c r="G8">
        <f aca="true" t="shared" si="4" ref="G8:G27">F8+E8</f>
        <v>16.35493591072389</v>
      </c>
      <c r="H8" s="25">
        <f aca="true" t="shared" si="5" ref="H8:H27">D8*D8/2/$I$4*1000</f>
        <v>14.303092136242348</v>
      </c>
      <c r="I8" s="25">
        <f aca="true" t="shared" si="6" ref="I8:I27">($J$4-H8)/$M$4</f>
        <v>2.516284727672266</v>
      </c>
      <c r="J8" s="25"/>
    </row>
    <row r="9" spans="1:10" ht="12.75">
      <c r="A9">
        <v>2</v>
      </c>
      <c r="B9">
        <f aca="true" t="shared" si="7" ref="B9:B27">A9/20*$C$3</f>
        <v>3</v>
      </c>
      <c r="C9">
        <f t="shared" si="1"/>
        <v>27</v>
      </c>
      <c r="D9">
        <f t="shared" si="0"/>
        <v>12</v>
      </c>
      <c r="E9">
        <f t="shared" si="2"/>
        <v>-7.0821519231141155</v>
      </c>
      <c r="F9">
        <f t="shared" si="3"/>
        <v>23</v>
      </c>
      <c r="G9">
        <f t="shared" si="4"/>
        <v>15.917848076885885</v>
      </c>
      <c r="H9" s="25">
        <f t="shared" si="5"/>
        <v>11.301208601475436</v>
      </c>
      <c r="I9" s="25">
        <f t="shared" si="6"/>
        <v>4.767697378747451</v>
      </c>
      <c r="J9" s="25"/>
    </row>
    <row r="10" spans="1:10" ht="12.75">
      <c r="A10">
        <v>3</v>
      </c>
      <c r="B10">
        <f t="shared" si="7"/>
        <v>4.5</v>
      </c>
      <c r="C10">
        <f t="shared" si="1"/>
        <v>25.5</v>
      </c>
      <c r="D10">
        <f t="shared" si="0"/>
        <v>10.5</v>
      </c>
      <c r="E10">
        <f t="shared" si="2"/>
        <v>-8.42944684649776</v>
      </c>
      <c r="F10">
        <f t="shared" si="3"/>
        <v>24.5</v>
      </c>
      <c r="G10">
        <f t="shared" si="4"/>
        <v>16.07055315350224</v>
      </c>
      <c r="H10" s="25">
        <f t="shared" si="5"/>
        <v>8.652487835504632</v>
      </c>
      <c r="I10" s="25">
        <f t="shared" si="6"/>
        <v>6.754237953225554</v>
      </c>
      <c r="J10" s="25"/>
    </row>
    <row r="11" spans="1:10" ht="12.75">
      <c r="A11">
        <v>4</v>
      </c>
      <c r="B11">
        <f t="shared" si="7"/>
        <v>6</v>
      </c>
      <c r="C11">
        <f t="shared" si="1"/>
        <v>24</v>
      </c>
      <c r="D11">
        <f t="shared" si="0"/>
        <v>9</v>
      </c>
      <c r="E11">
        <f t="shared" si="2"/>
        <v>-9.44286923081882</v>
      </c>
      <c r="F11">
        <f t="shared" si="3"/>
        <v>26</v>
      </c>
      <c r="G11">
        <f t="shared" si="4"/>
        <v>16.557130769181178</v>
      </c>
      <c r="H11" s="25">
        <f t="shared" si="5"/>
        <v>6.356929838329933</v>
      </c>
      <c r="I11" s="25">
        <f t="shared" si="6"/>
        <v>8.475906451106578</v>
      </c>
      <c r="J11" s="25"/>
    </row>
    <row r="12" spans="1:10" ht="12.75">
      <c r="A12">
        <v>5</v>
      </c>
      <c r="B12">
        <f t="shared" si="7"/>
        <v>7.5</v>
      </c>
      <c r="C12">
        <f t="shared" si="1"/>
        <v>22.5</v>
      </c>
      <c r="D12">
        <f t="shared" si="0"/>
        <v>7.5</v>
      </c>
      <c r="E12">
        <f t="shared" si="2"/>
        <v>-10.2222057981294</v>
      </c>
      <c r="F12">
        <f t="shared" si="3"/>
        <v>27.5</v>
      </c>
      <c r="G12">
        <f t="shared" si="4"/>
        <v>17.2777942018706</v>
      </c>
      <c r="H12" s="25">
        <f t="shared" si="5"/>
        <v>4.4145346099513425</v>
      </c>
      <c r="I12" s="25">
        <f t="shared" si="6"/>
        <v>9.932702872390522</v>
      </c>
      <c r="J12" s="25"/>
    </row>
    <row r="13" spans="1:10" ht="12.75">
      <c r="A13">
        <v>6</v>
      </c>
      <c r="B13">
        <f t="shared" si="7"/>
        <v>9</v>
      </c>
      <c r="C13">
        <f t="shared" si="1"/>
        <v>21</v>
      </c>
      <c r="D13">
        <f t="shared" si="0"/>
        <v>6</v>
      </c>
      <c r="E13">
        <f t="shared" si="2"/>
        <v>-10.818165756949169</v>
      </c>
      <c r="F13">
        <f t="shared" si="3"/>
        <v>29</v>
      </c>
      <c r="G13">
        <f t="shared" si="4"/>
        <v>18.18183424305083</v>
      </c>
      <c r="H13" s="25">
        <f t="shared" si="5"/>
        <v>2.825302150368859</v>
      </c>
      <c r="I13" s="25">
        <f t="shared" si="6"/>
        <v>11.124627217077384</v>
      </c>
      <c r="J13" s="25"/>
    </row>
    <row r="14" spans="1:10" ht="12.75">
      <c r="A14">
        <v>7</v>
      </c>
      <c r="B14">
        <f t="shared" si="7"/>
        <v>10.5</v>
      </c>
      <c r="C14">
        <f t="shared" si="1"/>
        <v>19.5</v>
      </c>
      <c r="D14">
        <f t="shared" si="0"/>
        <v>4.5</v>
      </c>
      <c r="E14">
        <f t="shared" si="2"/>
        <v>-11.25990391641494</v>
      </c>
      <c r="F14">
        <f t="shared" si="3"/>
        <v>30.5</v>
      </c>
      <c r="G14">
        <f t="shared" si="4"/>
        <v>19.24009608358506</v>
      </c>
      <c r="H14" s="25">
        <f t="shared" si="5"/>
        <v>1.5892324595824832</v>
      </c>
      <c r="I14" s="25">
        <f t="shared" si="6"/>
        <v>12.051679485167165</v>
      </c>
      <c r="J14" s="25"/>
    </row>
    <row r="15" spans="1:10" ht="12.75">
      <c r="A15">
        <v>8</v>
      </c>
      <c r="B15">
        <f t="shared" si="7"/>
        <v>12</v>
      </c>
      <c r="C15">
        <f t="shared" si="1"/>
        <v>18</v>
      </c>
      <c r="D15">
        <f t="shared" si="0"/>
        <v>3</v>
      </c>
      <c r="E15">
        <f t="shared" si="2"/>
        <v>-11.56510566166679</v>
      </c>
      <c r="F15">
        <f t="shared" si="3"/>
        <v>32</v>
      </c>
      <c r="G15">
        <f t="shared" si="4"/>
        <v>20.43489433833321</v>
      </c>
      <c r="H15" s="25">
        <f t="shared" si="5"/>
        <v>0.7063255375922147</v>
      </c>
      <c r="I15" s="25">
        <f t="shared" si="6"/>
        <v>12.713859676659867</v>
      </c>
      <c r="J15" s="25"/>
    </row>
    <row r="16" spans="1:10" ht="12.75">
      <c r="A16">
        <v>9</v>
      </c>
      <c r="B16">
        <f t="shared" si="7"/>
        <v>13.5</v>
      </c>
      <c r="C16">
        <f t="shared" si="1"/>
        <v>16.5</v>
      </c>
      <c r="D16">
        <f>$B$17-B16</f>
        <v>1.5</v>
      </c>
      <c r="E16">
        <f t="shared" si="2"/>
        <v>-11.744420318631724</v>
      </c>
      <c r="F16">
        <f t="shared" si="3"/>
        <v>33.5</v>
      </c>
      <c r="G16">
        <f t="shared" si="4"/>
        <v>21.755579681368275</v>
      </c>
      <c r="H16" s="25">
        <f t="shared" si="5"/>
        <v>0.17658138439805368</v>
      </c>
      <c r="I16" s="25">
        <f t="shared" si="6"/>
        <v>13.111167791555486</v>
      </c>
      <c r="J16" s="25"/>
    </row>
    <row r="17" spans="1:10" ht="12.75">
      <c r="A17">
        <v>10</v>
      </c>
      <c r="B17">
        <f t="shared" si="7"/>
        <v>15</v>
      </c>
      <c r="C17">
        <f t="shared" si="1"/>
        <v>15</v>
      </c>
      <c r="D17">
        <v>0</v>
      </c>
      <c r="E17">
        <f t="shared" si="2"/>
        <v>-11.803586538523525</v>
      </c>
      <c r="F17">
        <f t="shared" si="3"/>
        <v>35</v>
      </c>
      <c r="G17">
        <f t="shared" si="4"/>
        <v>23.196413461476475</v>
      </c>
      <c r="H17" s="25">
        <f t="shared" si="5"/>
        <v>0</v>
      </c>
      <c r="I17" s="25">
        <f t="shared" si="6"/>
        <v>13.243603829854028</v>
      </c>
      <c r="J17" s="25"/>
    </row>
    <row r="18" spans="1:10" ht="12.75">
      <c r="A18">
        <v>11</v>
      </c>
      <c r="B18">
        <f t="shared" si="7"/>
        <v>16.5</v>
      </c>
      <c r="C18">
        <f t="shared" si="1"/>
        <v>13.5</v>
      </c>
      <c r="D18">
        <f>$B$17-C18</f>
        <v>1.5</v>
      </c>
      <c r="E18">
        <f t="shared" si="2"/>
        <v>-11.744420318631724</v>
      </c>
      <c r="F18">
        <f t="shared" si="3"/>
        <v>36.5</v>
      </c>
      <c r="G18">
        <f t="shared" si="4"/>
        <v>24.755579681368275</v>
      </c>
      <c r="H18" s="25">
        <f t="shared" si="5"/>
        <v>0.17658138439805368</v>
      </c>
      <c r="I18" s="25">
        <f t="shared" si="6"/>
        <v>13.111167791555486</v>
      </c>
      <c r="J18" s="25"/>
    </row>
    <row r="19" spans="1:10" ht="12.75">
      <c r="A19">
        <v>12</v>
      </c>
      <c r="B19">
        <f t="shared" si="7"/>
        <v>18</v>
      </c>
      <c r="C19">
        <f t="shared" si="1"/>
        <v>12</v>
      </c>
      <c r="D19">
        <f aca="true" t="shared" si="8" ref="D19:D27">$B$17-C19</f>
        <v>3</v>
      </c>
      <c r="E19">
        <f t="shared" si="2"/>
        <v>-11.56510566166679</v>
      </c>
      <c r="F19">
        <f t="shared" si="3"/>
        <v>38</v>
      </c>
      <c r="G19">
        <f t="shared" si="4"/>
        <v>26.43489433833321</v>
      </c>
      <c r="H19" s="25">
        <f t="shared" si="5"/>
        <v>0.7063255375922147</v>
      </c>
      <c r="I19" s="25">
        <f t="shared" si="6"/>
        <v>12.713859676659867</v>
      </c>
      <c r="J19" s="25"/>
    </row>
    <row r="20" spans="1:10" ht="12.75">
      <c r="A20">
        <v>13</v>
      </c>
      <c r="B20">
        <f t="shared" si="7"/>
        <v>19.5</v>
      </c>
      <c r="C20">
        <f t="shared" si="1"/>
        <v>10.5</v>
      </c>
      <c r="D20">
        <f t="shared" si="8"/>
        <v>4.5</v>
      </c>
      <c r="E20">
        <f t="shared" si="2"/>
        <v>-11.25990391641494</v>
      </c>
      <c r="F20">
        <f t="shared" si="3"/>
        <v>39.5</v>
      </c>
      <c r="G20">
        <f t="shared" si="4"/>
        <v>28.24009608358506</v>
      </c>
      <c r="H20" s="25">
        <f t="shared" si="5"/>
        <v>1.5892324595824832</v>
      </c>
      <c r="I20" s="25">
        <f t="shared" si="6"/>
        <v>12.051679485167165</v>
      </c>
      <c r="J20" s="25"/>
    </row>
    <row r="21" spans="1:10" ht="12.75">
      <c r="A21">
        <v>14</v>
      </c>
      <c r="B21">
        <f t="shared" si="7"/>
        <v>21</v>
      </c>
      <c r="C21">
        <f t="shared" si="1"/>
        <v>9</v>
      </c>
      <c r="D21">
        <f t="shared" si="8"/>
        <v>6</v>
      </c>
      <c r="E21">
        <f t="shared" si="2"/>
        <v>-10.818165756949169</v>
      </c>
      <c r="F21">
        <f t="shared" si="3"/>
        <v>41</v>
      </c>
      <c r="G21">
        <f t="shared" si="4"/>
        <v>30.18183424305083</v>
      </c>
      <c r="H21" s="25">
        <f t="shared" si="5"/>
        <v>2.825302150368859</v>
      </c>
      <c r="I21" s="25">
        <f t="shared" si="6"/>
        <v>11.124627217077384</v>
      </c>
      <c r="J21" s="25"/>
    </row>
    <row r="22" spans="1:10" ht="12.75">
      <c r="A22">
        <v>15</v>
      </c>
      <c r="B22">
        <f t="shared" si="7"/>
        <v>22.5</v>
      </c>
      <c r="C22">
        <f t="shared" si="1"/>
        <v>7.5</v>
      </c>
      <c r="D22">
        <f t="shared" si="8"/>
        <v>7.5</v>
      </c>
      <c r="E22">
        <f t="shared" si="2"/>
        <v>-10.2222057981294</v>
      </c>
      <c r="F22">
        <f t="shared" si="3"/>
        <v>42.5</v>
      </c>
      <c r="G22">
        <f t="shared" si="4"/>
        <v>32.2777942018706</v>
      </c>
      <c r="H22" s="25">
        <f t="shared" si="5"/>
        <v>4.4145346099513425</v>
      </c>
      <c r="I22" s="25">
        <f t="shared" si="6"/>
        <v>9.932702872390522</v>
      </c>
      <c r="J22" s="25"/>
    </row>
    <row r="23" spans="1:10" ht="12.75">
      <c r="A23">
        <v>16</v>
      </c>
      <c r="B23">
        <f t="shared" si="7"/>
        <v>24</v>
      </c>
      <c r="C23">
        <f t="shared" si="1"/>
        <v>6</v>
      </c>
      <c r="D23">
        <f t="shared" si="8"/>
        <v>9</v>
      </c>
      <c r="E23">
        <f t="shared" si="2"/>
        <v>-9.44286923081882</v>
      </c>
      <c r="F23">
        <f t="shared" si="3"/>
        <v>44</v>
      </c>
      <c r="G23">
        <f t="shared" si="4"/>
        <v>34.55713076918118</v>
      </c>
      <c r="H23" s="25">
        <f t="shared" si="5"/>
        <v>6.356929838329933</v>
      </c>
      <c r="I23" s="25">
        <f t="shared" si="6"/>
        <v>8.475906451106578</v>
      </c>
      <c r="J23" s="25"/>
    </row>
    <row r="24" spans="1:10" ht="12.75">
      <c r="A24">
        <v>17</v>
      </c>
      <c r="B24">
        <f t="shared" si="7"/>
        <v>25.5</v>
      </c>
      <c r="C24">
        <f t="shared" si="1"/>
        <v>4.5</v>
      </c>
      <c r="D24">
        <f t="shared" si="8"/>
        <v>10.5</v>
      </c>
      <c r="E24">
        <f t="shared" si="2"/>
        <v>-8.42944684649776</v>
      </c>
      <c r="F24">
        <f t="shared" si="3"/>
        <v>45.5</v>
      </c>
      <c r="G24">
        <f t="shared" si="4"/>
        <v>37.07055315350224</v>
      </c>
      <c r="H24" s="25">
        <f t="shared" si="5"/>
        <v>8.652487835504632</v>
      </c>
      <c r="I24" s="25">
        <f t="shared" si="6"/>
        <v>6.754237953225554</v>
      </c>
      <c r="J24" s="25"/>
    </row>
    <row r="25" spans="1:10" ht="12.75">
      <c r="A25">
        <v>18</v>
      </c>
      <c r="B25">
        <f t="shared" si="7"/>
        <v>27</v>
      </c>
      <c r="C25">
        <f t="shared" si="1"/>
        <v>3</v>
      </c>
      <c r="D25">
        <f t="shared" si="8"/>
        <v>12</v>
      </c>
      <c r="E25">
        <f t="shared" si="2"/>
        <v>-7.0821519231141155</v>
      </c>
      <c r="F25">
        <f t="shared" si="3"/>
        <v>47</v>
      </c>
      <c r="G25">
        <f t="shared" si="4"/>
        <v>39.91784807688588</v>
      </c>
      <c r="H25" s="25">
        <f t="shared" si="5"/>
        <v>11.301208601475436</v>
      </c>
      <c r="I25" s="25">
        <f t="shared" si="6"/>
        <v>4.767697378747451</v>
      </c>
      <c r="J25" s="25"/>
    </row>
    <row r="26" spans="1:10" ht="12.75">
      <c r="A26">
        <v>19</v>
      </c>
      <c r="B26">
        <f t="shared" si="7"/>
        <v>28.5</v>
      </c>
      <c r="C26">
        <f t="shared" si="1"/>
        <v>1.5</v>
      </c>
      <c r="D26">
        <f t="shared" si="8"/>
        <v>13.5</v>
      </c>
      <c r="E26">
        <f t="shared" si="2"/>
        <v>-5.145064089276111</v>
      </c>
      <c r="F26">
        <f t="shared" si="3"/>
        <v>48.5</v>
      </c>
      <c r="G26">
        <f t="shared" si="4"/>
        <v>43.35493591072389</v>
      </c>
      <c r="H26" s="25">
        <f t="shared" si="5"/>
        <v>14.303092136242348</v>
      </c>
      <c r="I26" s="25">
        <f t="shared" si="6"/>
        <v>2.516284727672266</v>
      </c>
      <c r="J26" s="25"/>
    </row>
    <row r="27" spans="1:10" ht="12.75">
      <c r="A27">
        <v>20</v>
      </c>
      <c r="B27">
        <f t="shared" si="7"/>
        <v>30</v>
      </c>
      <c r="C27">
        <f t="shared" si="1"/>
        <v>0</v>
      </c>
      <c r="D27">
        <f t="shared" si="8"/>
        <v>15</v>
      </c>
      <c r="E27">
        <f t="shared" si="2"/>
        <v>0</v>
      </c>
      <c r="F27">
        <f t="shared" si="3"/>
        <v>50</v>
      </c>
      <c r="G27">
        <f t="shared" si="4"/>
        <v>50</v>
      </c>
      <c r="H27" s="25">
        <f t="shared" si="5"/>
        <v>17.65813843980537</v>
      </c>
      <c r="I27" s="25">
        <f t="shared" si="6"/>
        <v>0</v>
      </c>
      <c r="J27" s="25"/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Tellumat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Douw van der Merwe</dc:creator>
  <cp:keywords/>
  <dc:description/>
  <cp:lastModifiedBy>ABIATAR S.A.</cp:lastModifiedBy>
  <cp:lastPrinted>2003-01-08T13:24:41Z</cp:lastPrinted>
  <dcterms:created xsi:type="dcterms:W3CDTF">2000-03-20T08:22:26Z</dcterms:created>
  <dcterms:modified xsi:type="dcterms:W3CDTF">2005-12-15T14:18:38Z</dcterms:modified>
  <cp:category/>
  <cp:version/>
  <cp:contentType/>
  <cp:contentStatus/>
</cp:coreProperties>
</file>