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j 3" sheetId="4" r:id="rId1"/>
    <sheet name="Ej 2" sheetId="2" r:id="rId2"/>
    <sheet name="Ej 1" sheetId="3" r:id="rId3"/>
  </sheets>
  <calcPr calcId="124519"/>
</workbook>
</file>

<file path=xl/calcChain.xml><?xml version="1.0" encoding="utf-8"?>
<calcChain xmlns="http://schemas.openxmlformats.org/spreadsheetml/2006/main">
  <c r="C14" i="4"/>
  <c r="C13"/>
  <c r="G10"/>
  <c r="D7" i="2"/>
  <c r="F4"/>
  <c r="K30" i="3"/>
  <c r="K26"/>
  <c r="K27" s="1"/>
  <c r="K28" s="1"/>
  <c r="K31" s="1"/>
  <c r="H30"/>
  <c r="K25"/>
  <c r="J26"/>
  <c r="J27" s="1"/>
  <c r="J28" s="1"/>
  <c r="H27"/>
  <c r="J25"/>
  <c r="H28"/>
  <c r="H26"/>
  <c r="H25"/>
  <c r="G20"/>
  <c r="G19"/>
  <c r="G18"/>
  <c r="F13"/>
  <c r="E2"/>
  <c r="C4"/>
  <c r="E1"/>
  <c r="C3"/>
  <c r="C2"/>
  <c r="C1"/>
  <c r="E8" i="4"/>
  <c r="C4" s="1"/>
  <c r="E7"/>
  <c r="C5"/>
  <c r="G9" i="2"/>
  <c r="G10" s="1"/>
  <c r="D8"/>
  <c r="F6"/>
  <c r="F5"/>
  <c r="C7" i="4" l="1"/>
  <c r="D10" i="2"/>
  <c r="D12" s="1"/>
  <c r="D9"/>
  <c r="C12" i="4"/>
  <c r="C11" l="1"/>
  <c r="H31" i="3" l="1"/>
  <c r="J29"/>
  <c r="K29" s="1"/>
  <c r="J30" l="1"/>
  <c r="J31" s="1"/>
  <c r="C15" i="4" l="1"/>
  <c r="E13" s="1"/>
  <c r="E14" l="1"/>
  <c r="C17"/>
  <c r="C16"/>
  <c r="C22" l="1"/>
  <c r="C23"/>
  <c r="C24" s="1"/>
  <c r="C20" l="1"/>
  <c r="C21"/>
  <c r="C26" s="1"/>
  <c r="C27" s="1"/>
</calcChain>
</file>

<file path=xl/sharedStrings.xml><?xml version="1.0" encoding="utf-8"?>
<sst xmlns="http://schemas.openxmlformats.org/spreadsheetml/2006/main" count="121" uniqueCount="87">
  <si>
    <t>N</t>
  </si>
  <si>
    <t>Mpa</t>
  </si>
  <si>
    <t>Problema 3</t>
  </si>
  <si>
    <t>m</t>
  </si>
  <si>
    <t>a)</t>
  </si>
  <si>
    <t>b)</t>
  </si>
  <si>
    <t>Pa</t>
  </si>
  <si>
    <t>Problema 2</t>
  </si>
  <si>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x=</t>
    </r>
  </si>
  <si>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y=</t>
    </r>
  </si>
  <si>
    <r>
      <rPr>
        <sz val="11"/>
        <color indexed="8"/>
        <rFont val="Symbol"/>
        <family val="1"/>
        <charset val="2"/>
      </rPr>
      <t>t</t>
    </r>
    <r>
      <rPr>
        <sz val="11"/>
        <color theme="1"/>
        <rFont val="Calibri"/>
        <family val="2"/>
        <scheme val="minor"/>
      </rPr>
      <t>xy=</t>
    </r>
  </si>
  <si>
    <t>Signo</t>
  </si>
  <si>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2=</t>
    </r>
  </si>
  <si>
    <r>
      <rPr>
        <sz val="11"/>
        <color indexed="8"/>
        <rFont val="Symbol"/>
        <family val="1"/>
        <charset val="2"/>
      </rPr>
      <t>s3</t>
    </r>
    <r>
      <rPr>
        <sz val="11"/>
        <color theme="1"/>
        <rFont val="Calibri"/>
        <family val="2"/>
        <scheme val="minor"/>
      </rPr>
      <t>=</t>
    </r>
  </si>
  <si>
    <t>(dato)</t>
  </si>
  <si>
    <t>R=</t>
  </si>
  <si>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med=</t>
    </r>
  </si>
  <si>
    <r>
      <rPr>
        <sz val="11"/>
        <color indexed="8"/>
        <rFont val="Symbol"/>
        <family val="1"/>
        <charset val="2"/>
      </rPr>
      <t>t</t>
    </r>
    <r>
      <rPr>
        <sz val="11"/>
        <color theme="1"/>
        <rFont val="Calibri"/>
        <family val="2"/>
        <scheme val="minor"/>
      </rPr>
      <t>max=</t>
    </r>
  </si>
  <si>
    <r>
      <rPr>
        <sz val="11"/>
        <color indexed="8"/>
        <rFont val="Symbol"/>
        <family val="1"/>
        <charset val="2"/>
      </rPr>
      <t>s1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</si>
  <si>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indexed="8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=</t>
    </r>
  </si>
  <si>
    <t>rad</t>
  </si>
  <si>
    <t>º</t>
  </si>
  <si>
    <t>Nm</t>
  </si>
  <si>
    <t>w=</t>
  </si>
  <si>
    <t>rad/s</t>
  </si>
  <si>
    <t>N(RPM)</t>
  </si>
  <si>
    <t>Fb=</t>
  </si>
  <si>
    <t>Db=</t>
  </si>
  <si>
    <t>Fd=</t>
  </si>
  <si>
    <t>Dd=</t>
  </si>
  <si>
    <t>Sy=</t>
  </si>
  <si>
    <t>Deje</t>
  </si>
  <si>
    <t>Mb</t>
  </si>
  <si>
    <t>Md</t>
  </si>
  <si>
    <t>j=</t>
  </si>
  <si>
    <t>rad=</t>
  </si>
  <si>
    <t>grados</t>
  </si>
  <si>
    <t>g=</t>
  </si>
  <si>
    <t>Jp=</t>
  </si>
  <si>
    <r>
      <t>t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</si>
  <si>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</t>
    </r>
  </si>
  <si>
    <t>m4</t>
  </si>
  <si>
    <t>G(Pa)=</t>
  </si>
  <si>
    <t>(Por Tresca con FS=</t>
  </si>
  <si>
    <t>(Por fórmula de torsión)</t>
  </si>
  <si>
    <t>(Por fórmula de flexión)</t>
  </si>
  <si>
    <r>
      <t>s</t>
    </r>
    <r>
      <rPr>
        <sz val="8"/>
        <color theme="1"/>
        <rFont val="Cambria"/>
        <family val="1"/>
        <scheme val="major"/>
      </rPr>
      <t>1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</si>
  <si>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2</t>
    </r>
    <r>
      <rPr>
        <sz val="11"/>
        <color theme="1"/>
        <rFont val="Cambria"/>
        <family val="1"/>
        <scheme val="major"/>
      </rPr>
      <t>=</t>
    </r>
  </si>
  <si>
    <r>
      <t>s</t>
    </r>
    <r>
      <rPr>
        <sz val="8"/>
        <color theme="1"/>
        <rFont val="Cambria"/>
        <family val="1"/>
        <scheme val="major"/>
      </rPr>
      <t>med</t>
    </r>
    <r>
      <rPr>
        <sz val="11"/>
        <color theme="1"/>
        <rFont val="Cambria"/>
        <family val="1"/>
        <scheme val="major"/>
      </rPr>
      <t>=</t>
    </r>
  </si>
  <si>
    <t>Circulo de Mohr</t>
  </si>
  <si>
    <r>
      <t>t</t>
    </r>
    <r>
      <rPr>
        <sz val="8"/>
        <color theme="1"/>
        <rFont val="Cambria"/>
        <family val="1"/>
        <scheme val="major"/>
      </rPr>
      <t>max</t>
    </r>
    <r>
      <rPr>
        <sz val="11"/>
        <color theme="1"/>
        <rFont val="Cambria"/>
        <family val="1"/>
        <scheme val="major"/>
      </rPr>
      <t>=R</t>
    </r>
  </si>
  <si>
    <t>Corte Linea de carga con elipse (VM)</t>
  </si>
  <si>
    <t>FS(V.Mises)=</t>
  </si>
  <si>
    <t>T=Fd.Dd=</t>
  </si>
  <si>
    <t>Ra</t>
  </si>
  <si>
    <t>c1</t>
  </si>
  <si>
    <t>c2</t>
  </si>
  <si>
    <t>c3</t>
  </si>
  <si>
    <t>Rb</t>
  </si>
  <si>
    <t>Total</t>
  </si>
  <si>
    <t>V</t>
  </si>
  <si>
    <t>q</t>
  </si>
  <si>
    <t>68 N</t>
  </si>
  <si>
    <t>57 N</t>
  </si>
  <si>
    <t>192 N</t>
  </si>
  <si>
    <t>173 N</t>
  </si>
  <si>
    <t>x corte</t>
  </si>
  <si>
    <t>M</t>
  </si>
  <si>
    <t>M1</t>
  </si>
  <si>
    <t>M2</t>
  </si>
  <si>
    <t>M3</t>
  </si>
  <si>
    <t>sigma</t>
  </si>
  <si>
    <t>Lambda</t>
  </si>
  <si>
    <t>Lambda criti</t>
  </si>
  <si>
    <t>Sigma crit</t>
  </si>
  <si>
    <t>(Mpa)</t>
  </si>
  <si>
    <t>ro</t>
  </si>
  <si>
    <t>Carga</t>
  </si>
  <si>
    <t>Sigma</t>
  </si>
  <si>
    <t>FS</t>
  </si>
  <si>
    <t>KN</t>
  </si>
  <si>
    <t>Caso a</t>
  </si>
  <si>
    <t>Caso b</t>
  </si>
  <si>
    <t>50 Mpa</t>
  </si>
  <si>
    <t>Caso mas seguro</t>
  </si>
  <si>
    <t>Barra circ</t>
  </si>
  <si>
    <t>Barra rect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</si>
</sst>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6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sz val="10"/>
      <color theme="1"/>
      <name val="Georgia"/>
      <family val="1"/>
    </font>
    <font>
      <sz val="11"/>
      <color theme="1"/>
      <name val="Symbol"/>
      <family val="1"/>
      <charset val="2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/>
    <xf numFmtId="11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0" fillId="0" borderId="0" xfId="0" applyNumberFormat="1"/>
    <xf numFmtId="2" fontId="0" fillId="0" borderId="0" xfId="0" applyNumberFormat="1"/>
    <xf numFmtId="0" fontId="0" fillId="2" borderId="0" xfId="0" applyFill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</xdr:colOff>
      <xdr:row>8</xdr:row>
      <xdr:rowOff>10319</xdr:rowOff>
    </xdr:from>
    <xdr:to>
      <xdr:col>1</xdr:col>
      <xdr:colOff>19844</xdr:colOff>
      <xdr:row>9</xdr:row>
      <xdr:rowOff>181769</xdr:rowOff>
    </xdr:to>
    <xdr:cxnSp macro="">
      <xdr:nvCxnSpPr>
        <xdr:cNvPr id="5" name="4 Conector recto de flecha"/>
        <xdr:cNvCxnSpPr/>
      </xdr:nvCxnSpPr>
      <xdr:spPr>
        <a:xfrm rot="5400000" flipH="1" flipV="1">
          <a:off x="600075" y="1638300"/>
          <a:ext cx="361950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1588</xdr:colOff>
      <xdr:row>9</xdr:row>
      <xdr:rowOff>171450</xdr:rowOff>
    </xdr:to>
    <xdr:cxnSp macro="">
      <xdr:nvCxnSpPr>
        <xdr:cNvPr id="6" name="5 Conector recto de flecha"/>
        <xdr:cNvCxnSpPr/>
      </xdr:nvCxnSpPr>
      <xdr:spPr>
        <a:xfrm rot="5400000" flipH="1" flipV="1">
          <a:off x="2753519" y="1627981"/>
          <a:ext cx="361950" cy="158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8731</xdr:colOff>
      <xdr:row>6</xdr:row>
      <xdr:rowOff>794</xdr:rowOff>
    </xdr:from>
    <xdr:to>
      <xdr:col>1</xdr:col>
      <xdr:colOff>10319</xdr:colOff>
      <xdr:row>7</xdr:row>
      <xdr:rowOff>794</xdr:rowOff>
    </xdr:to>
    <xdr:cxnSp macro="">
      <xdr:nvCxnSpPr>
        <xdr:cNvPr id="10" name="9 Conector recto de flecha"/>
        <xdr:cNvCxnSpPr/>
      </xdr:nvCxnSpPr>
      <xdr:spPr>
        <a:xfrm rot="5400000">
          <a:off x="676275" y="123825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170656</xdr:colOff>
      <xdr:row>6</xdr:row>
      <xdr:rowOff>10319</xdr:rowOff>
    </xdr:from>
    <xdr:to>
      <xdr:col>1</xdr:col>
      <xdr:colOff>172244</xdr:colOff>
      <xdr:row>7</xdr:row>
      <xdr:rowOff>10319</xdr:rowOff>
    </xdr:to>
    <xdr:cxnSp macro="">
      <xdr:nvCxnSpPr>
        <xdr:cNvPr id="11" name="10 Conector recto de flecha"/>
        <xdr:cNvCxnSpPr/>
      </xdr:nvCxnSpPr>
      <xdr:spPr>
        <a:xfrm rot="5400000">
          <a:off x="838200" y="1247775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313531</xdr:colOff>
      <xdr:row>6</xdr:row>
      <xdr:rowOff>794</xdr:rowOff>
    </xdr:from>
    <xdr:to>
      <xdr:col>1</xdr:col>
      <xdr:colOff>315119</xdr:colOff>
      <xdr:row>7</xdr:row>
      <xdr:rowOff>794</xdr:rowOff>
    </xdr:to>
    <xdr:cxnSp macro="">
      <xdr:nvCxnSpPr>
        <xdr:cNvPr id="12" name="11 Conector recto de flecha"/>
        <xdr:cNvCxnSpPr/>
      </xdr:nvCxnSpPr>
      <xdr:spPr>
        <a:xfrm rot="5400000">
          <a:off x="981075" y="123825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465931</xdr:colOff>
      <xdr:row>6</xdr:row>
      <xdr:rowOff>19844</xdr:rowOff>
    </xdr:from>
    <xdr:to>
      <xdr:col>1</xdr:col>
      <xdr:colOff>467519</xdr:colOff>
      <xdr:row>7</xdr:row>
      <xdr:rowOff>19844</xdr:rowOff>
    </xdr:to>
    <xdr:cxnSp macro="">
      <xdr:nvCxnSpPr>
        <xdr:cNvPr id="13" name="12 Conector recto de flecha"/>
        <xdr:cNvCxnSpPr/>
      </xdr:nvCxnSpPr>
      <xdr:spPr>
        <a:xfrm rot="5400000">
          <a:off x="1133475" y="125730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608806</xdr:colOff>
      <xdr:row>6</xdr:row>
      <xdr:rowOff>794</xdr:rowOff>
    </xdr:from>
    <xdr:to>
      <xdr:col>1</xdr:col>
      <xdr:colOff>610394</xdr:colOff>
      <xdr:row>7</xdr:row>
      <xdr:rowOff>794</xdr:rowOff>
    </xdr:to>
    <xdr:cxnSp macro="">
      <xdr:nvCxnSpPr>
        <xdr:cNvPr id="14" name="13 Conector recto de flecha"/>
        <xdr:cNvCxnSpPr/>
      </xdr:nvCxnSpPr>
      <xdr:spPr>
        <a:xfrm rot="5400000">
          <a:off x="1276350" y="123825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761206</xdr:colOff>
      <xdr:row>5</xdr:row>
      <xdr:rowOff>794</xdr:rowOff>
    </xdr:from>
    <xdr:to>
      <xdr:col>2</xdr:col>
      <xdr:colOff>794</xdr:colOff>
      <xdr:row>7</xdr:row>
      <xdr:rowOff>794</xdr:rowOff>
    </xdr:to>
    <xdr:cxnSp macro="">
      <xdr:nvCxnSpPr>
        <xdr:cNvPr id="19" name="18 Conector recto de flecha"/>
        <xdr:cNvCxnSpPr/>
      </xdr:nvCxnSpPr>
      <xdr:spPr>
        <a:xfrm rot="5400000">
          <a:off x="1333500" y="1143000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151606</xdr:colOff>
      <xdr:row>5</xdr:row>
      <xdr:rowOff>794</xdr:rowOff>
    </xdr:from>
    <xdr:to>
      <xdr:col>2</xdr:col>
      <xdr:colOff>153194</xdr:colOff>
      <xdr:row>7</xdr:row>
      <xdr:rowOff>794</xdr:rowOff>
    </xdr:to>
    <xdr:cxnSp macro="">
      <xdr:nvCxnSpPr>
        <xdr:cNvPr id="20" name="19 Conector recto de flecha"/>
        <xdr:cNvCxnSpPr/>
      </xdr:nvCxnSpPr>
      <xdr:spPr>
        <a:xfrm rot="5400000">
          <a:off x="1485900" y="1143000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351631</xdr:colOff>
      <xdr:row>5</xdr:row>
      <xdr:rowOff>10319</xdr:rowOff>
    </xdr:from>
    <xdr:to>
      <xdr:col>2</xdr:col>
      <xdr:colOff>353219</xdr:colOff>
      <xdr:row>7</xdr:row>
      <xdr:rowOff>10319</xdr:rowOff>
    </xdr:to>
    <xdr:cxnSp macro="">
      <xdr:nvCxnSpPr>
        <xdr:cNvPr id="21" name="20 Conector recto de flecha"/>
        <xdr:cNvCxnSpPr/>
      </xdr:nvCxnSpPr>
      <xdr:spPr>
        <a:xfrm rot="5400000">
          <a:off x="1685925" y="1152525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504031</xdr:colOff>
      <xdr:row>5</xdr:row>
      <xdr:rowOff>794</xdr:rowOff>
    </xdr:from>
    <xdr:to>
      <xdr:col>2</xdr:col>
      <xdr:colOff>505619</xdr:colOff>
      <xdr:row>7</xdr:row>
      <xdr:rowOff>794</xdr:rowOff>
    </xdr:to>
    <xdr:cxnSp macro="">
      <xdr:nvCxnSpPr>
        <xdr:cNvPr id="22" name="21 Conector recto de flecha"/>
        <xdr:cNvCxnSpPr/>
      </xdr:nvCxnSpPr>
      <xdr:spPr>
        <a:xfrm rot="5400000">
          <a:off x="1838325" y="1143000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646906</xdr:colOff>
      <xdr:row>5</xdr:row>
      <xdr:rowOff>794</xdr:rowOff>
    </xdr:from>
    <xdr:to>
      <xdr:col>3</xdr:col>
      <xdr:colOff>794</xdr:colOff>
      <xdr:row>7</xdr:row>
      <xdr:rowOff>794</xdr:rowOff>
    </xdr:to>
    <xdr:cxnSp macro="">
      <xdr:nvCxnSpPr>
        <xdr:cNvPr id="23" name="22 Conector recto de flecha"/>
        <xdr:cNvCxnSpPr/>
      </xdr:nvCxnSpPr>
      <xdr:spPr>
        <a:xfrm rot="5400000">
          <a:off x="1981200" y="1143000"/>
          <a:ext cx="3810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123032</xdr:colOff>
      <xdr:row>5</xdr:row>
      <xdr:rowOff>124618</xdr:rowOff>
    </xdr:from>
    <xdr:to>
      <xdr:col>3</xdr:col>
      <xdr:colOff>124620</xdr:colOff>
      <xdr:row>7</xdr:row>
      <xdr:rowOff>793</xdr:rowOff>
    </xdr:to>
    <xdr:cxnSp macro="">
      <xdr:nvCxnSpPr>
        <xdr:cNvPr id="25" name="24 Conector recto de flecha"/>
        <xdr:cNvCxnSpPr/>
      </xdr:nvCxnSpPr>
      <xdr:spPr>
        <a:xfrm rot="5400000">
          <a:off x="2166938" y="1204912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275432</xdr:colOff>
      <xdr:row>5</xdr:row>
      <xdr:rowOff>134144</xdr:rowOff>
    </xdr:from>
    <xdr:to>
      <xdr:col>3</xdr:col>
      <xdr:colOff>277020</xdr:colOff>
      <xdr:row>7</xdr:row>
      <xdr:rowOff>10319</xdr:rowOff>
    </xdr:to>
    <xdr:cxnSp macro="">
      <xdr:nvCxnSpPr>
        <xdr:cNvPr id="26" name="25 Conector recto de flecha"/>
        <xdr:cNvCxnSpPr/>
      </xdr:nvCxnSpPr>
      <xdr:spPr>
        <a:xfrm rot="5400000">
          <a:off x="2319338" y="1214438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427832</xdr:colOff>
      <xdr:row>5</xdr:row>
      <xdr:rowOff>134145</xdr:rowOff>
    </xdr:from>
    <xdr:to>
      <xdr:col>3</xdr:col>
      <xdr:colOff>429420</xdr:colOff>
      <xdr:row>7</xdr:row>
      <xdr:rowOff>10320</xdr:rowOff>
    </xdr:to>
    <xdr:cxnSp macro="">
      <xdr:nvCxnSpPr>
        <xdr:cNvPr id="27" name="26 Conector recto de flecha"/>
        <xdr:cNvCxnSpPr/>
      </xdr:nvCxnSpPr>
      <xdr:spPr>
        <a:xfrm rot="5400000">
          <a:off x="2471738" y="1214439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570707</xdr:colOff>
      <xdr:row>5</xdr:row>
      <xdr:rowOff>134146</xdr:rowOff>
    </xdr:from>
    <xdr:to>
      <xdr:col>3</xdr:col>
      <xdr:colOff>572295</xdr:colOff>
      <xdr:row>7</xdr:row>
      <xdr:rowOff>10321</xdr:rowOff>
    </xdr:to>
    <xdr:cxnSp macro="">
      <xdr:nvCxnSpPr>
        <xdr:cNvPr id="28" name="27 Conector recto de flecha"/>
        <xdr:cNvCxnSpPr/>
      </xdr:nvCxnSpPr>
      <xdr:spPr>
        <a:xfrm rot="5400000">
          <a:off x="2614613" y="1214440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713582</xdr:colOff>
      <xdr:row>5</xdr:row>
      <xdr:rowOff>134147</xdr:rowOff>
    </xdr:from>
    <xdr:to>
      <xdr:col>3</xdr:col>
      <xdr:colOff>715170</xdr:colOff>
      <xdr:row>7</xdr:row>
      <xdr:rowOff>10322</xdr:rowOff>
    </xdr:to>
    <xdr:cxnSp macro="">
      <xdr:nvCxnSpPr>
        <xdr:cNvPr id="29" name="28 Conector recto de flecha"/>
        <xdr:cNvCxnSpPr/>
      </xdr:nvCxnSpPr>
      <xdr:spPr>
        <a:xfrm rot="5400000">
          <a:off x="2757488" y="1214441"/>
          <a:ext cx="2571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0</xdr:colOff>
      <xdr:row>12</xdr:row>
      <xdr:rowOff>57150</xdr:rowOff>
    </xdr:to>
    <xdr:cxnSp macro="">
      <xdr:nvCxnSpPr>
        <xdr:cNvPr id="31" name="30 Conector recto"/>
        <xdr:cNvCxnSpPr/>
      </xdr:nvCxnSpPr>
      <xdr:spPr>
        <a:xfrm>
          <a:off x="762000" y="2028825"/>
          <a:ext cx="762000" cy="238125"/>
        </a:xfrm>
        <a:prstGeom prst="line">
          <a:avLst/>
        </a:prstGeom>
        <a:ln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12</xdr:row>
      <xdr:rowOff>57150</xdr:rowOff>
    </xdr:from>
    <xdr:to>
      <xdr:col>3</xdr:col>
      <xdr:colOff>21981</xdr:colOff>
      <xdr:row>14</xdr:row>
      <xdr:rowOff>131884</xdr:rowOff>
    </xdr:to>
    <xdr:cxnSp macro="">
      <xdr:nvCxnSpPr>
        <xdr:cNvPr id="33" name="32 Conector recto"/>
        <xdr:cNvCxnSpPr/>
      </xdr:nvCxnSpPr>
      <xdr:spPr>
        <a:xfrm>
          <a:off x="1514475" y="2269881"/>
          <a:ext cx="676275" cy="367811"/>
        </a:xfrm>
        <a:prstGeom prst="line">
          <a:avLst/>
        </a:prstGeom>
        <a:ln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123825</xdr:rowOff>
    </xdr:from>
    <xdr:to>
      <xdr:col>3</xdr:col>
      <xdr:colOff>752475</xdr:colOff>
      <xdr:row>16</xdr:row>
      <xdr:rowOff>19050</xdr:rowOff>
    </xdr:to>
    <xdr:cxnSp macro="">
      <xdr:nvCxnSpPr>
        <xdr:cNvPr id="36" name="35 Conector recto"/>
        <xdr:cNvCxnSpPr/>
      </xdr:nvCxnSpPr>
      <xdr:spPr>
        <a:xfrm>
          <a:off x="2171700" y="2628900"/>
          <a:ext cx="752475" cy="276225"/>
        </a:xfrm>
        <a:prstGeom prst="line">
          <a:avLst/>
        </a:prstGeom>
        <a:ln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758190</xdr:colOff>
      <xdr:row>18</xdr:row>
      <xdr:rowOff>17145</xdr:rowOff>
    </xdr:from>
    <xdr:to>
      <xdr:col>4</xdr:col>
      <xdr:colOff>0</xdr:colOff>
      <xdr:row>20</xdr:row>
      <xdr:rowOff>0</xdr:rowOff>
    </xdr:to>
    <xdr:sp macro="" textlink="">
      <xdr:nvSpPr>
        <xdr:cNvPr id="44" name="43 Forma libre"/>
        <xdr:cNvSpPr/>
      </xdr:nvSpPr>
      <xdr:spPr>
        <a:xfrm>
          <a:off x="758190" y="3286125"/>
          <a:ext cx="2175510" cy="363855"/>
        </a:xfrm>
        <a:custGeom>
          <a:avLst/>
          <a:gdLst>
            <a:gd name="connsiteX0" fmla="*/ 0 w 2175510"/>
            <a:gd name="connsiteY0" fmla="*/ 366395 h 366395"/>
            <a:gd name="connsiteX1" fmla="*/ 762000 w 2175510"/>
            <a:gd name="connsiteY1" fmla="*/ 76835 h 366395"/>
            <a:gd name="connsiteX2" fmla="*/ 1021080 w 2175510"/>
            <a:gd name="connsiteY2" fmla="*/ 12065 h 366395"/>
            <a:gd name="connsiteX3" fmla="*/ 1150620 w 2175510"/>
            <a:gd name="connsiteY3" fmla="*/ 4445 h 366395"/>
            <a:gd name="connsiteX4" fmla="*/ 1394460 w 2175510"/>
            <a:gd name="connsiteY4" fmla="*/ 15875 h 366395"/>
            <a:gd name="connsiteX5" fmla="*/ 1741170 w 2175510"/>
            <a:gd name="connsiteY5" fmla="*/ 99695 h 366395"/>
            <a:gd name="connsiteX6" fmla="*/ 2175510 w 2175510"/>
            <a:gd name="connsiteY6" fmla="*/ 366395 h 366395"/>
            <a:gd name="connsiteX0" fmla="*/ 0 w 2175510"/>
            <a:gd name="connsiteY0" fmla="*/ 377825 h 377825"/>
            <a:gd name="connsiteX1" fmla="*/ 529590 w 2175510"/>
            <a:gd name="connsiteY1" fmla="*/ 156845 h 377825"/>
            <a:gd name="connsiteX2" fmla="*/ 1021080 w 2175510"/>
            <a:gd name="connsiteY2" fmla="*/ 23495 h 377825"/>
            <a:gd name="connsiteX3" fmla="*/ 1150620 w 2175510"/>
            <a:gd name="connsiteY3" fmla="*/ 15875 h 377825"/>
            <a:gd name="connsiteX4" fmla="*/ 1394460 w 2175510"/>
            <a:gd name="connsiteY4" fmla="*/ 27305 h 377825"/>
            <a:gd name="connsiteX5" fmla="*/ 1741170 w 2175510"/>
            <a:gd name="connsiteY5" fmla="*/ 111125 h 377825"/>
            <a:gd name="connsiteX6" fmla="*/ 2175510 w 2175510"/>
            <a:gd name="connsiteY6" fmla="*/ 377825 h 377825"/>
            <a:gd name="connsiteX0" fmla="*/ 0 w 2175510"/>
            <a:gd name="connsiteY0" fmla="*/ 366395 h 366395"/>
            <a:gd name="connsiteX1" fmla="*/ 529590 w 2175510"/>
            <a:gd name="connsiteY1" fmla="*/ 145415 h 366395"/>
            <a:gd name="connsiteX2" fmla="*/ 838200 w 2175510"/>
            <a:gd name="connsiteY2" fmla="*/ 42545 h 366395"/>
            <a:gd name="connsiteX3" fmla="*/ 1150620 w 2175510"/>
            <a:gd name="connsiteY3" fmla="*/ 4445 h 366395"/>
            <a:gd name="connsiteX4" fmla="*/ 1394460 w 2175510"/>
            <a:gd name="connsiteY4" fmla="*/ 15875 h 366395"/>
            <a:gd name="connsiteX5" fmla="*/ 1741170 w 2175510"/>
            <a:gd name="connsiteY5" fmla="*/ 99695 h 366395"/>
            <a:gd name="connsiteX6" fmla="*/ 2175510 w 2175510"/>
            <a:gd name="connsiteY6" fmla="*/ 366395 h 366395"/>
            <a:gd name="connsiteX0" fmla="*/ 0 w 2175510"/>
            <a:gd name="connsiteY0" fmla="*/ 366395 h 366395"/>
            <a:gd name="connsiteX1" fmla="*/ 529590 w 2175510"/>
            <a:gd name="connsiteY1" fmla="*/ 145415 h 366395"/>
            <a:gd name="connsiteX2" fmla="*/ 838200 w 2175510"/>
            <a:gd name="connsiteY2" fmla="*/ 42545 h 366395"/>
            <a:gd name="connsiteX3" fmla="*/ 1150620 w 2175510"/>
            <a:gd name="connsiteY3" fmla="*/ 4445 h 366395"/>
            <a:gd name="connsiteX4" fmla="*/ 1394460 w 2175510"/>
            <a:gd name="connsiteY4" fmla="*/ 15875 h 366395"/>
            <a:gd name="connsiteX5" fmla="*/ 1741170 w 2175510"/>
            <a:gd name="connsiteY5" fmla="*/ 99695 h 366395"/>
            <a:gd name="connsiteX6" fmla="*/ 1908810 w 2175510"/>
            <a:gd name="connsiteY6" fmla="*/ 198755 h 366395"/>
            <a:gd name="connsiteX7" fmla="*/ 2175510 w 2175510"/>
            <a:gd name="connsiteY7" fmla="*/ 366395 h 366395"/>
            <a:gd name="connsiteX0" fmla="*/ 0 w 2175510"/>
            <a:gd name="connsiteY0" fmla="*/ 366395 h 366395"/>
            <a:gd name="connsiteX1" fmla="*/ 529590 w 2175510"/>
            <a:gd name="connsiteY1" fmla="*/ 145415 h 366395"/>
            <a:gd name="connsiteX2" fmla="*/ 838200 w 2175510"/>
            <a:gd name="connsiteY2" fmla="*/ 42545 h 366395"/>
            <a:gd name="connsiteX3" fmla="*/ 1150620 w 2175510"/>
            <a:gd name="connsiteY3" fmla="*/ 4445 h 366395"/>
            <a:gd name="connsiteX4" fmla="*/ 1394460 w 2175510"/>
            <a:gd name="connsiteY4" fmla="*/ 15875 h 366395"/>
            <a:gd name="connsiteX5" fmla="*/ 1672590 w 2175510"/>
            <a:gd name="connsiteY5" fmla="*/ 95885 h 366395"/>
            <a:gd name="connsiteX6" fmla="*/ 1908810 w 2175510"/>
            <a:gd name="connsiteY6" fmla="*/ 198755 h 366395"/>
            <a:gd name="connsiteX7" fmla="*/ 2175510 w 2175510"/>
            <a:gd name="connsiteY7" fmla="*/ 366395 h 366395"/>
            <a:gd name="connsiteX0" fmla="*/ 0 w 2175510"/>
            <a:gd name="connsiteY0" fmla="*/ 363855 h 363855"/>
            <a:gd name="connsiteX1" fmla="*/ 529590 w 2175510"/>
            <a:gd name="connsiteY1" fmla="*/ 142875 h 363855"/>
            <a:gd name="connsiteX2" fmla="*/ 838200 w 2175510"/>
            <a:gd name="connsiteY2" fmla="*/ 40005 h 363855"/>
            <a:gd name="connsiteX3" fmla="*/ 1150620 w 2175510"/>
            <a:gd name="connsiteY3" fmla="*/ 1905 h 363855"/>
            <a:gd name="connsiteX4" fmla="*/ 1390650 w 2175510"/>
            <a:gd name="connsiteY4" fmla="*/ 28575 h 363855"/>
            <a:gd name="connsiteX5" fmla="*/ 1672590 w 2175510"/>
            <a:gd name="connsiteY5" fmla="*/ 93345 h 363855"/>
            <a:gd name="connsiteX6" fmla="*/ 1908810 w 2175510"/>
            <a:gd name="connsiteY6" fmla="*/ 196215 h 363855"/>
            <a:gd name="connsiteX7" fmla="*/ 2175510 w 2175510"/>
            <a:gd name="connsiteY7" fmla="*/ 363855 h 363855"/>
            <a:gd name="connsiteX0" fmla="*/ 0 w 2175510"/>
            <a:gd name="connsiteY0" fmla="*/ 363855 h 363855"/>
            <a:gd name="connsiteX1" fmla="*/ 529590 w 2175510"/>
            <a:gd name="connsiteY1" fmla="*/ 142875 h 363855"/>
            <a:gd name="connsiteX2" fmla="*/ 838200 w 2175510"/>
            <a:gd name="connsiteY2" fmla="*/ 40005 h 363855"/>
            <a:gd name="connsiteX3" fmla="*/ 1150620 w 2175510"/>
            <a:gd name="connsiteY3" fmla="*/ 1905 h 363855"/>
            <a:gd name="connsiteX4" fmla="*/ 1390650 w 2175510"/>
            <a:gd name="connsiteY4" fmla="*/ 28575 h 363855"/>
            <a:gd name="connsiteX5" fmla="*/ 1672590 w 2175510"/>
            <a:gd name="connsiteY5" fmla="*/ 104775 h 363855"/>
            <a:gd name="connsiteX6" fmla="*/ 1908810 w 2175510"/>
            <a:gd name="connsiteY6" fmla="*/ 196215 h 363855"/>
            <a:gd name="connsiteX7" fmla="*/ 2175510 w 2175510"/>
            <a:gd name="connsiteY7" fmla="*/ 363855 h 363855"/>
            <a:gd name="connsiteX0" fmla="*/ 0 w 2175510"/>
            <a:gd name="connsiteY0" fmla="*/ 363855 h 363855"/>
            <a:gd name="connsiteX1" fmla="*/ 529590 w 2175510"/>
            <a:gd name="connsiteY1" fmla="*/ 142875 h 363855"/>
            <a:gd name="connsiteX2" fmla="*/ 838200 w 2175510"/>
            <a:gd name="connsiteY2" fmla="*/ 40005 h 363855"/>
            <a:gd name="connsiteX3" fmla="*/ 1150620 w 2175510"/>
            <a:gd name="connsiteY3" fmla="*/ 1905 h 363855"/>
            <a:gd name="connsiteX4" fmla="*/ 1390650 w 2175510"/>
            <a:gd name="connsiteY4" fmla="*/ 28575 h 363855"/>
            <a:gd name="connsiteX5" fmla="*/ 1672590 w 2175510"/>
            <a:gd name="connsiteY5" fmla="*/ 104775 h 363855"/>
            <a:gd name="connsiteX6" fmla="*/ 1908810 w 2175510"/>
            <a:gd name="connsiteY6" fmla="*/ 207645 h 363855"/>
            <a:gd name="connsiteX7" fmla="*/ 2175510 w 2175510"/>
            <a:gd name="connsiteY7" fmla="*/ 363855 h 363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175510" h="363855">
              <a:moveTo>
                <a:pt x="0" y="363855"/>
              </a:moveTo>
              <a:lnTo>
                <a:pt x="529590" y="142875"/>
              </a:lnTo>
              <a:cubicBezTo>
                <a:pt x="699770" y="83820"/>
                <a:pt x="734695" y="63500"/>
                <a:pt x="838200" y="40005"/>
              </a:cubicBezTo>
              <a:cubicBezTo>
                <a:pt x="941705" y="16510"/>
                <a:pt x="1058545" y="3810"/>
                <a:pt x="1150620" y="1905"/>
              </a:cubicBezTo>
              <a:cubicBezTo>
                <a:pt x="1242695" y="0"/>
                <a:pt x="1303655" y="11430"/>
                <a:pt x="1390650" y="28575"/>
              </a:cubicBezTo>
              <a:cubicBezTo>
                <a:pt x="1477645" y="45720"/>
                <a:pt x="1586230" y="74930"/>
                <a:pt x="1672590" y="104775"/>
              </a:cubicBezTo>
              <a:cubicBezTo>
                <a:pt x="1758950" y="134620"/>
                <a:pt x="1836420" y="163195"/>
                <a:pt x="1908810" y="207645"/>
              </a:cubicBezTo>
              <a:lnTo>
                <a:pt x="2175510" y="363855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729475</xdr:colOff>
      <xdr:row>18</xdr:row>
      <xdr:rowOff>46464</xdr:rowOff>
    </xdr:from>
    <xdr:to>
      <xdr:col>2</xdr:col>
      <xdr:colOff>23231</xdr:colOff>
      <xdr:row>18</xdr:row>
      <xdr:rowOff>106867</xdr:rowOff>
    </xdr:to>
    <xdr:sp macro="" textlink="">
      <xdr:nvSpPr>
        <xdr:cNvPr id="49" name="48 Conector"/>
        <xdr:cNvSpPr/>
      </xdr:nvSpPr>
      <xdr:spPr>
        <a:xfrm>
          <a:off x="1491475" y="3317488"/>
          <a:ext cx="55756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2</xdr:col>
      <xdr:colOff>348475</xdr:colOff>
      <xdr:row>17</xdr:row>
      <xdr:rowOff>185853</xdr:rowOff>
    </xdr:from>
    <xdr:to>
      <xdr:col>2</xdr:col>
      <xdr:colOff>404231</xdr:colOff>
      <xdr:row>18</xdr:row>
      <xdr:rowOff>55756</xdr:rowOff>
    </xdr:to>
    <xdr:sp macro="" textlink="">
      <xdr:nvSpPr>
        <xdr:cNvPr id="50" name="49 Conector"/>
        <xdr:cNvSpPr/>
      </xdr:nvSpPr>
      <xdr:spPr>
        <a:xfrm>
          <a:off x="1872475" y="3266377"/>
          <a:ext cx="55756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2</xdr:col>
      <xdr:colOff>622610</xdr:colOff>
      <xdr:row>18</xdr:row>
      <xdr:rowOff>32524</xdr:rowOff>
    </xdr:from>
    <xdr:to>
      <xdr:col>3</xdr:col>
      <xdr:colOff>32525</xdr:colOff>
      <xdr:row>18</xdr:row>
      <xdr:rowOff>92927</xdr:rowOff>
    </xdr:to>
    <xdr:sp macro="" textlink="">
      <xdr:nvSpPr>
        <xdr:cNvPr id="51" name="50 Conector"/>
        <xdr:cNvSpPr/>
      </xdr:nvSpPr>
      <xdr:spPr>
        <a:xfrm>
          <a:off x="2146610" y="3303548"/>
          <a:ext cx="55756" cy="60403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8732</xdr:colOff>
      <xdr:row>23</xdr:row>
      <xdr:rowOff>19843</xdr:rowOff>
    </xdr:from>
    <xdr:to>
      <xdr:col>1</xdr:col>
      <xdr:colOff>10320</xdr:colOff>
      <xdr:row>31</xdr:row>
      <xdr:rowOff>48418</xdr:rowOff>
    </xdr:to>
    <xdr:cxnSp macro="">
      <xdr:nvCxnSpPr>
        <xdr:cNvPr id="53" name="52 Conector recto"/>
        <xdr:cNvCxnSpPr/>
      </xdr:nvCxnSpPr>
      <xdr:spPr>
        <a:xfrm rot="5400000">
          <a:off x="-4762" y="4938712"/>
          <a:ext cx="15525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30</xdr:row>
      <xdr:rowOff>180975</xdr:rowOff>
    </xdr:from>
    <xdr:to>
      <xdr:col>4</xdr:col>
      <xdr:colOff>466725</xdr:colOff>
      <xdr:row>30</xdr:row>
      <xdr:rowOff>182563</xdr:rowOff>
    </xdr:to>
    <xdr:cxnSp macro="">
      <xdr:nvCxnSpPr>
        <xdr:cNvPr id="55" name="54 Conector recto"/>
        <xdr:cNvCxnSpPr/>
      </xdr:nvCxnSpPr>
      <xdr:spPr>
        <a:xfrm>
          <a:off x="714375" y="5657850"/>
          <a:ext cx="26860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23</xdr:row>
      <xdr:rowOff>76200</xdr:rowOff>
    </xdr:from>
    <xdr:to>
      <xdr:col>5</xdr:col>
      <xdr:colOff>57150</xdr:colOff>
      <xdr:row>30</xdr:row>
      <xdr:rowOff>66675</xdr:rowOff>
    </xdr:to>
    <xdr:sp macro="" textlink="">
      <xdr:nvSpPr>
        <xdr:cNvPr id="56" name="55 Forma libre"/>
        <xdr:cNvSpPr/>
      </xdr:nvSpPr>
      <xdr:spPr>
        <a:xfrm>
          <a:off x="1009650" y="4219575"/>
          <a:ext cx="2819400" cy="1323975"/>
        </a:xfrm>
        <a:custGeom>
          <a:avLst/>
          <a:gdLst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1057275 w 2819400"/>
            <a:gd name="connsiteY2" fmla="*/ 1190625 h 1323975"/>
            <a:gd name="connsiteX3" fmla="*/ 2819400 w 2819400"/>
            <a:gd name="connsiteY3" fmla="*/ 1323975 h 1323975"/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333375 w 2819400"/>
            <a:gd name="connsiteY2" fmla="*/ 733425 h 1323975"/>
            <a:gd name="connsiteX3" fmla="*/ 1057275 w 2819400"/>
            <a:gd name="connsiteY3" fmla="*/ 11906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209550 w 2819400"/>
            <a:gd name="connsiteY1" fmla="*/ 609600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33337 w 2852737"/>
            <a:gd name="connsiteY0" fmla="*/ 0 h 1323975"/>
            <a:gd name="connsiteX1" fmla="*/ 176212 w 2852737"/>
            <a:gd name="connsiteY1" fmla="*/ 466725 h 1323975"/>
            <a:gd name="connsiteX2" fmla="*/ 366712 w 2852737"/>
            <a:gd name="connsiteY2" fmla="*/ 733425 h 1323975"/>
            <a:gd name="connsiteX3" fmla="*/ 1204912 w 2852737"/>
            <a:gd name="connsiteY3" fmla="*/ 1152525 h 1323975"/>
            <a:gd name="connsiteX4" fmla="*/ 2852737 w 2852737"/>
            <a:gd name="connsiteY4" fmla="*/ 1323975 h 1323975"/>
            <a:gd name="connsiteX0" fmla="*/ 0 w 2819400"/>
            <a:gd name="connsiteY0" fmla="*/ 0 h 1323975"/>
            <a:gd name="connsiteX1" fmla="*/ 142875 w 2819400"/>
            <a:gd name="connsiteY1" fmla="*/ 466725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95250 w 2819400"/>
            <a:gd name="connsiteY1" fmla="*/ 447675 h 1323975"/>
            <a:gd name="connsiteX2" fmla="*/ 333375 w 2819400"/>
            <a:gd name="connsiteY2" fmla="*/ 73342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  <a:gd name="connsiteX0" fmla="*/ 0 w 2819400"/>
            <a:gd name="connsiteY0" fmla="*/ 0 h 1323975"/>
            <a:gd name="connsiteX1" fmla="*/ 95250 w 2819400"/>
            <a:gd name="connsiteY1" fmla="*/ 447675 h 1323975"/>
            <a:gd name="connsiteX2" fmla="*/ 352425 w 2819400"/>
            <a:gd name="connsiteY2" fmla="*/ 790575 h 1323975"/>
            <a:gd name="connsiteX3" fmla="*/ 1171575 w 2819400"/>
            <a:gd name="connsiteY3" fmla="*/ 1152525 h 1323975"/>
            <a:gd name="connsiteX4" fmla="*/ 2819400 w 2819400"/>
            <a:gd name="connsiteY4" fmla="*/ 1323975 h 1323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19400" h="1323975">
              <a:moveTo>
                <a:pt x="0" y="0"/>
              </a:moveTo>
              <a:cubicBezTo>
                <a:pt x="16669" y="205581"/>
                <a:pt x="14288" y="201613"/>
                <a:pt x="95250" y="447675"/>
              </a:cubicBezTo>
              <a:cubicBezTo>
                <a:pt x="131762" y="550862"/>
                <a:pt x="173038" y="673100"/>
                <a:pt x="352425" y="790575"/>
              </a:cubicBezTo>
              <a:cubicBezTo>
                <a:pt x="531813" y="908050"/>
                <a:pt x="760412" y="1063625"/>
                <a:pt x="1171575" y="1152525"/>
              </a:cubicBezTo>
              <a:cubicBezTo>
                <a:pt x="1582738" y="1241425"/>
                <a:pt x="2155825" y="1316831"/>
                <a:pt x="2819400" y="13239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UY" sz="1100"/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5</xdr:col>
      <xdr:colOff>333375</xdr:colOff>
      <xdr:row>28</xdr:row>
      <xdr:rowOff>1588</xdr:rowOff>
    </xdr:to>
    <xdr:cxnSp macro="">
      <xdr:nvCxnSpPr>
        <xdr:cNvPr id="58" name="57 Conector recto"/>
        <xdr:cNvCxnSpPr/>
      </xdr:nvCxnSpPr>
      <xdr:spPr>
        <a:xfrm>
          <a:off x="781050" y="5095875"/>
          <a:ext cx="33242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29</xdr:row>
      <xdr:rowOff>85725</xdr:rowOff>
    </xdr:from>
    <xdr:to>
      <xdr:col>3</xdr:col>
      <xdr:colOff>361950</xdr:colOff>
      <xdr:row>29</xdr:row>
      <xdr:rowOff>87313</xdr:rowOff>
    </xdr:to>
    <xdr:cxnSp macro="">
      <xdr:nvCxnSpPr>
        <xdr:cNvPr id="63" name="62 Conector recto"/>
        <xdr:cNvCxnSpPr/>
      </xdr:nvCxnSpPr>
      <xdr:spPr>
        <a:xfrm>
          <a:off x="781050" y="5372100"/>
          <a:ext cx="1752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581025</xdr:colOff>
      <xdr:row>29</xdr:row>
      <xdr:rowOff>133350</xdr:rowOff>
    </xdr:from>
    <xdr:to>
      <xdr:col>4</xdr:col>
      <xdr:colOff>95250</xdr:colOff>
      <xdr:row>29</xdr:row>
      <xdr:rowOff>134938</xdr:rowOff>
    </xdr:to>
    <xdr:cxnSp macro="">
      <xdr:nvCxnSpPr>
        <xdr:cNvPr id="68" name="67 Conector recto"/>
        <xdr:cNvCxnSpPr/>
      </xdr:nvCxnSpPr>
      <xdr:spPr>
        <a:xfrm>
          <a:off x="2105025" y="5419725"/>
          <a:ext cx="9239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608806</xdr:colOff>
      <xdr:row>29</xdr:row>
      <xdr:rowOff>10319</xdr:rowOff>
    </xdr:from>
    <xdr:to>
      <xdr:col>2</xdr:col>
      <xdr:colOff>610394</xdr:colOff>
      <xdr:row>31</xdr:row>
      <xdr:rowOff>67469</xdr:rowOff>
    </xdr:to>
    <xdr:cxnSp macro="">
      <xdr:nvCxnSpPr>
        <xdr:cNvPr id="70" name="69 Conector recto"/>
        <xdr:cNvCxnSpPr/>
      </xdr:nvCxnSpPr>
      <xdr:spPr>
        <a:xfrm rot="5400000">
          <a:off x="1914525" y="5514975"/>
          <a:ext cx="438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B1" zoomScale="85" zoomScaleNormal="85" workbookViewId="0">
      <selection activeCell="C15" sqref="C15"/>
    </sheetView>
  </sheetViews>
  <sheetFormatPr baseColWidth="10" defaultRowHeight="15"/>
  <cols>
    <col min="2" max="2" width="11.140625" customWidth="1"/>
    <col min="3" max="3" width="15.28515625" customWidth="1"/>
    <col min="4" max="4" width="16" customWidth="1"/>
    <col min="5" max="5" width="11.85546875" customWidth="1"/>
    <col min="6" max="6" width="12.28515625" customWidth="1"/>
    <col min="7" max="7" width="7.28515625" customWidth="1"/>
    <col min="8" max="8" width="12.140625" bestFit="1" customWidth="1"/>
  </cols>
  <sheetData>
    <row r="1" spans="1:7">
      <c r="C1" s="8"/>
    </row>
    <row r="2" spans="1:7">
      <c r="B2" t="s">
        <v>2</v>
      </c>
      <c r="G2" s="1"/>
    </row>
    <row r="3" spans="1:7">
      <c r="A3" s="9" t="s">
        <v>2</v>
      </c>
      <c r="B3" s="5"/>
      <c r="C3" s="2"/>
      <c r="D3" s="2"/>
      <c r="E3" s="5"/>
      <c r="F3" s="5"/>
    </row>
    <row r="4" spans="1:7">
      <c r="B4" t="s">
        <v>53</v>
      </c>
      <c r="C4" s="7">
        <f>+C8*E8</f>
        <v>987</v>
      </c>
      <c r="D4" t="s">
        <v>22</v>
      </c>
    </row>
    <row r="5" spans="1:7">
      <c r="B5" s="3" t="s">
        <v>23</v>
      </c>
      <c r="C5" s="7">
        <f>2*PI()*C6/60</f>
        <v>75.921822461753337</v>
      </c>
      <c r="D5" t="s">
        <v>24</v>
      </c>
    </row>
    <row r="6" spans="1:7">
      <c r="A6" s="5"/>
      <c r="B6" t="s">
        <v>25</v>
      </c>
      <c r="C6" s="7">
        <v>725</v>
      </c>
    </row>
    <row r="7" spans="1:7">
      <c r="A7" s="5"/>
      <c r="B7" t="s">
        <v>26</v>
      </c>
      <c r="C7" s="7">
        <f>C4/E7</f>
        <v>6580</v>
      </c>
      <c r="D7" t="s">
        <v>27</v>
      </c>
      <c r="E7">
        <f>0.15</f>
        <v>0.15</v>
      </c>
      <c r="F7" t="s">
        <v>3</v>
      </c>
    </row>
    <row r="8" spans="1:7">
      <c r="B8" t="s">
        <v>28</v>
      </c>
      <c r="C8" s="7">
        <v>3290</v>
      </c>
      <c r="D8" t="s">
        <v>29</v>
      </c>
      <c r="E8">
        <f>0.3</f>
        <v>0.3</v>
      </c>
      <c r="F8" t="s">
        <v>3</v>
      </c>
    </row>
    <row r="9" spans="1:7">
      <c r="B9" t="s">
        <v>30</v>
      </c>
      <c r="C9" s="4">
        <v>210000000</v>
      </c>
      <c r="D9" t="s">
        <v>6</v>
      </c>
    </row>
    <row r="10" spans="1:7">
      <c r="B10" t="s">
        <v>31</v>
      </c>
      <c r="C10" s="11">
        <v>7.0000000000000007E-2</v>
      </c>
      <c r="D10" t="s">
        <v>3</v>
      </c>
      <c r="E10" t="s">
        <v>43</v>
      </c>
      <c r="G10" s="17">
        <f>+C9/(2000000*C23)</f>
        <v>2.2783603176034237</v>
      </c>
    </row>
    <row r="11" spans="1:7">
      <c r="B11" t="s">
        <v>32</v>
      </c>
      <c r="C11" s="7">
        <f>SQRT((0.4*C7)^2+(0.4*C8)^2)</f>
        <v>2942.6654583897234</v>
      </c>
      <c r="D11" t="s">
        <v>22</v>
      </c>
    </row>
    <row r="12" spans="1:7">
      <c r="B12" t="s">
        <v>33</v>
      </c>
      <c r="C12" s="7">
        <f>0.8*C8</f>
        <v>2632</v>
      </c>
      <c r="D12" t="s">
        <v>22</v>
      </c>
    </row>
    <row r="13" spans="1:7">
      <c r="B13" s="3" t="s">
        <v>34</v>
      </c>
      <c r="C13" s="10">
        <f>C4*0.2/(C15*210000000000)</f>
        <v>3.9878223142059236E-4</v>
      </c>
      <c r="D13" t="s">
        <v>35</v>
      </c>
      <c r="E13" s="11">
        <f>C13*(180/PI())</f>
        <v>2.2848538805209231E-2</v>
      </c>
      <c r="F13" t="s">
        <v>36</v>
      </c>
    </row>
    <row r="14" spans="1:7">
      <c r="B14" s="3" t="s">
        <v>37</v>
      </c>
      <c r="C14" s="10">
        <f>C4*(C10/2)/(C15*210000000000)</f>
        <v>6.9786890498603661E-5</v>
      </c>
      <c r="D14" t="s">
        <v>35</v>
      </c>
      <c r="E14" s="11">
        <f>C14*(180/PI())</f>
        <v>3.9984942909116151E-3</v>
      </c>
      <c r="F14" t="s">
        <v>36</v>
      </c>
    </row>
    <row r="15" spans="1:7">
      <c r="B15" t="s">
        <v>38</v>
      </c>
      <c r="C15" s="4">
        <f>+PI()*C10^4/32</f>
        <v>2.3571762378965922E-6</v>
      </c>
      <c r="D15" t="s">
        <v>41</v>
      </c>
    </row>
    <row r="16" spans="1:7">
      <c r="B16" s="3" t="s">
        <v>39</v>
      </c>
      <c r="C16" s="7">
        <f>C4*(C10/2)/C15/1000000</f>
        <v>14.655247004706768</v>
      </c>
      <c r="D16" t="s">
        <v>1</v>
      </c>
      <c r="E16" t="s">
        <v>44</v>
      </c>
    </row>
    <row r="17" spans="2:6">
      <c r="B17" s="3" t="s">
        <v>40</v>
      </c>
      <c r="C17" s="7">
        <f>C11*(C10/2)/(C15/2)/1000000</f>
        <v>87.387009412198708</v>
      </c>
      <c r="D17" t="s">
        <v>1</v>
      </c>
      <c r="E17" t="s">
        <v>45</v>
      </c>
    </row>
    <row r="18" spans="2:6">
      <c r="B18" t="s">
        <v>42</v>
      </c>
      <c r="C18" s="4">
        <v>210000000000</v>
      </c>
      <c r="E18" s="6"/>
      <c r="F18" s="2"/>
    </row>
    <row r="19" spans="2:6">
      <c r="B19" t="s">
        <v>49</v>
      </c>
    </row>
    <row r="20" spans="2:6">
      <c r="B20" s="3" t="s">
        <v>46</v>
      </c>
      <c r="C20" s="7">
        <f>+C22+C23</f>
        <v>89.779279282110252</v>
      </c>
    </row>
    <row r="21" spans="2:6">
      <c r="B21" s="3" t="s">
        <v>47</v>
      </c>
      <c r="C21" s="7">
        <f>+C22-C23</f>
        <v>-2.3922698699115514</v>
      </c>
    </row>
    <row r="22" spans="2:6">
      <c r="B22" s="3" t="s">
        <v>48</v>
      </c>
      <c r="C22" s="7">
        <f>+C17/2</f>
        <v>43.693504706099354</v>
      </c>
      <c r="D22" t="s">
        <v>1</v>
      </c>
    </row>
    <row r="23" spans="2:6">
      <c r="B23" t="s">
        <v>15</v>
      </c>
      <c r="C23">
        <f>+SQRT((C17/2)^2+C16^2)</f>
        <v>46.085774576010905</v>
      </c>
      <c r="D23" t="s">
        <v>1</v>
      </c>
    </row>
    <row r="24" spans="2:6">
      <c r="B24" s="3" t="s">
        <v>50</v>
      </c>
      <c r="C24">
        <f>+C23</f>
        <v>46.085774576010905</v>
      </c>
      <c r="D24" t="s">
        <v>1</v>
      </c>
    </row>
    <row r="25" spans="2:6">
      <c r="B25" t="s">
        <v>51</v>
      </c>
    </row>
    <row r="26" spans="2:6">
      <c r="B26" s="3" t="s">
        <v>46</v>
      </c>
      <c r="C26" s="7">
        <f>+SQRT(1/(1-C21/C20+(C21/C20)^2))*C9/1000000</f>
        <v>207.18522635674771</v>
      </c>
    </row>
    <row r="27" spans="2:6">
      <c r="B27" s="12" t="s">
        <v>52</v>
      </c>
      <c r="C27" s="8">
        <f>+C26/C20</f>
        <v>2.3077176383396543</v>
      </c>
    </row>
    <row r="59" spans="3:6">
      <c r="F59" s="8"/>
    </row>
    <row r="60" spans="3:6">
      <c r="C60" s="8"/>
      <c r="F60" s="8"/>
    </row>
    <row r="62" spans="3:6">
      <c r="C62" s="8"/>
    </row>
    <row r="63" spans="3:6">
      <c r="C63" s="8"/>
    </row>
    <row r="65" spans="3:3">
      <c r="C6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2"/>
  <sheetViews>
    <sheetView workbookViewId="0">
      <selection activeCell="G9" sqref="G9"/>
    </sheetView>
  </sheetViews>
  <sheetFormatPr baseColWidth="10" defaultRowHeight="15"/>
  <sheetData>
    <row r="3" spans="2:8">
      <c r="B3" t="s">
        <v>7</v>
      </c>
      <c r="F3" t="s">
        <v>11</v>
      </c>
    </row>
    <row r="4" spans="2:8">
      <c r="C4" t="s">
        <v>8</v>
      </c>
      <c r="D4">
        <v>-120</v>
      </c>
      <c r="E4" t="s">
        <v>1</v>
      </c>
      <c r="F4">
        <f>+SIGN(D4)</f>
        <v>-1</v>
      </c>
    </row>
    <row r="5" spans="2:8">
      <c r="C5" t="s">
        <v>9</v>
      </c>
      <c r="D5">
        <v>80</v>
      </c>
      <c r="E5" t="s">
        <v>1</v>
      </c>
      <c r="F5">
        <f>+SIGN(D5)</f>
        <v>1</v>
      </c>
    </row>
    <row r="6" spans="2:8">
      <c r="C6" t="s">
        <v>10</v>
      </c>
      <c r="D6">
        <v>-100</v>
      </c>
      <c r="E6" t="s">
        <v>1</v>
      </c>
      <c r="F6">
        <f>+SIGN(D6)</f>
        <v>-1</v>
      </c>
    </row>
    <row r="7" spans="2:8">
      <c r="C7" t="s">
        <v>15</v>
      </c>
      <c r="D7" s="8">
        <f>+SQRT((0.5*(D4-D5))^2+D6^2)</f>
        <v>141.42135623730951</v>
      </c>
      <c r="E7" t="s">
        <v>1</v>
      </c>
    </row>
    <row r="8" spans="2:8">
      <c r="C8" t="s">
        <v>16</v>
      </c>
      <c r="D8">
        <f>+(D4+D5)/2</f>
        <v>-20</v>
      </c>
      <c r="E8" t="s">
        <v>1</v>
      </c>
    </row>
    <row r="9" spans="2:8">
      <c r="C9" t="s">
        <v>18</v>
      </c>
      <c r="D9" s="8">
        <f>+D8+D7</f>
        <v>121.42135623730951</v>
      </c>
      <c r="E9" t="s">
        <v>1</v>
      </c>
      <c r="F9" t="s">
        <v>19</v>
      </c>
      <c r="G9" s="8">
        <f>0.5*ATAN(2*D6/(D4-D5))</f>
        <v>0.39269908169872414</v>
      </c>
      <c r="H9" t="s">
        <v>20</v>
      </c>
    </row>
    <row r="10" spans="2:8">
      <c r="C10" t="s">
        <v>12</v>
      </c>
      <c r="D10" s="8">
        <f>+D8-D7</f>
        <v>-161.42135623730951</v>
      </c>
      <c r="E10" t="s">
        <v>1</v>
      </c>
      <c r="G10" s="8">
        <f>180/PI()*G9</f>
        <v>22.5</v>
      </c>
      <c r="H10" t="s">
        <v>21</v>
      </c>
    </row>
    <row r="11" spans="2:8">
      <c r="C11" t="s">
        <v>13</v>
      </c>
      <c r="D11">
        <v>0</v>
      </c>
      <c r="E11" t="s">
        <v>1</v>
      </c>
      <c r="F11" t="s">
        <v>14</v>
      </c>
    </row>
    <row r="12" spans="2:8">
      <c r="C12" t="s">
        <v>17</v>
      </c>
      <c r="D12" s="8">
        <f>+(D11-D10)/2</f>
        <v>80.710678118654755</v>
      </c>
      <c r="E1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K24" sqref="K24"/>
    </sheetView>
  </sheetViews>
  <sheetFormatPr baseColWidth="10" defaultRowHeight="15"/>
  <cols>
    <col min="3" max="3" width="9.7109375" customWidth="1"/>
    <col min="5" max="5" width="12.5703125" bestFit="1" customWidth="1"/>
  </cols>
  <sheetData>
    <row r="1" spans="1:6">
      <c r="A1" t="s">
        <v>4</v>
      </c>
      <c r="B1" t="s">
        <v>55</v>
      </c>
      <c r="C1">
        <f>35*3</f>
        <v>105</v>
      </c>
      <c r="D1" t="s">
        <v>54</v>
      </c>
      <c r="E1" s="14">
        <f>+(C1*7+C2*4.25+C3*1.5)/8.5</f>
        <v>172.79411764705881</v>
      </c>
      <c r="F1" t="s">
        <v>0</v>
      </c>
    </row>
    <row r="2" spans="1:6">
      <c r="B2" t="s">
        <v>56</v>
      </c>
      <c r="C2">
        <f>50*2.5</f>
        <v>125</v>
      </c>
      <c r="D2" t="s">
        <v>58</v>
      </c>
      <c r="E2" s="14">
        <f>+(C1*1.5+C2*4.25+C3*7)/8.5</f>
        <v>192.20588235294119</v>
      </c>
      <c r="F2" t="s">
        <v>0</v>
      </c>
    </row>
    <row r="3" spans="1:6">
      <c r="B3" t="s">
        <v>57</v>
      </c>
      <c r="C3">
        <f>45*3</f>
        <v>135</v>
      </c>
      <c r="E3" s="14"/>
    </row>
    <row r="4" spans="1:6">
      <c r="B4" t="s">
        <v>59</v>
      </c>
      <c r="C4">
        <f>+C3+C2+C1</f>
        <v>365</v>
      </c>
      <c r="D4" t="s">
        <v>0</v>
      </c>
    </row>
    <row r="6" spans="1:6">
      <c r="A6" t="s">
        <v>61</v>
      </c>
    </row>
    <row r="8" spans="1:6" ht="9" customHeight="1">
      <c r="B8" s="15"/>
      <c r="C8" s="15"/>
      <c r="D8" s="15"/>
    </row>
    <row r="11" spans="1:6">
      <c r="A11" s="16" t="s">
        <v>65</v>
      </c>
    </row>
    <row r="12" spans="1:6">
      <c r="A12" t="s">
        <v>60</v>
      </c>
      <c r="C12" t="s">
        <v>62</v>
      </c>
    </row>
    <row r="13" spans="1:6">
      <c r="E13" t="s">
        <v>66</v>
      </c>
      <c r="F13">
        <f>3+(68/50)</f>
        <v>4.3600000000000003</v>
      </c>
    </row>
    <row r="14" spans="1:6" ht="8.25" customHeight="1">
      <c r="B14" s="15"/>
      <c r="C14" s="15"/>
      <c r="D14" s="15"/>
    </row>
    <row r="16" spans="1:6">
      <c r="C16" s="16" t="s">
        <v>63</v>
      </c>
    </row>
    <row r="17" spans="1:11">
      <c r="E17" t="s">
        <v>64</v>
      </c>
    </row>
    <row r="18" spans="1:11">
      <c r="B18" s="16" t="s">
        <v>68</v>
      </c>
      <c r="C18" s="1" t="s">
        <v>69</v>
      </c>
      <c r="D18" t="s">
        <v>70</v>
      </c>
      <c r="F18" t="s">
        <v>68</v>
      </c>
      <c r="G18" s="14">
        <f>+(E1+(E1-C1))*3/2</f>
        <v>360.88235294117646</v>
      </c>
      <c r="H18" t="s">
        <v>22</v>
      </c>
    </row>
    <row r="19" spans="1:11">
      <c r="A19" t="s">
        <v>67</v>
      </c>
      <c r="F19" t="s">
        <v>69</v>
      </c>
      <c r="G19" s="14">
        <f>+G18+(E1-C1)*(F13-3)/2</f>
        <v>406.98235294117649</v>
      </c>
      <c r="H19" t="s">
        <v>22</v>
      </c>
    </row>
    <row r="20" spans="1:11">
      <c r="F20" t="s">
        <v>70</v>
      </c>
      <c r="G20" s="14">
        <f>+G19-(E2-C3)*(5.5-F13)/2</f>
        <v>374.375</v>
      </c>
      <c r="H20" t="s">
        <v>22</v>
      </c>
    </row>
    <row r="21" spans="1:11" ht="9" customHeight="1">
      <c r="B21" s="15"/>
      <c r="C21" s="15"/>
      <c r="D21" s="15"/>
    </row>
    <row r="23" spans="1:11">
      <c r="J23" t="s">
        <v>85</v>
      </c>
      <c r="K23" t="s">
        <v>86</v>
      </c>
    </row>
    <row r="24" spans="1:11">
      <c r="A24" t="s">
        <v>5</v>
      </c>
      <c r="J24" t="s">
        <v>81</v>
      </c>
      <c r="K24" t="s">
        <v>82</v>
      </c>
    </row>
    <row r="25" spans="1:11">
      <c r="A25" t="s">
        <v>71</v>
      </c>
      <c r="G25" t="s">
        <v>73</v>
      </c>
      <c r="H25" s="7">
        <f>3.1416*SQRT(210000/210)</f>
        <v>99.346114971849801</v>
      </c>
      <c r="J25" s="7">
        <f>3.1416*SQRT(210000/210)</f>
        <v>99.346114971849801</v>
      </c>
      <c r="K25" s="7">
        <f>3.1416*SQRT(210000/210)</f>
        <v>99.346114971849801</v>
      </c>
    </row>
    <row r="26" spans="1:11">
      <c r="A26" t="s">
        <v>75</v>
      </c>
      <c r="G26" t="s">
        <v>76</v>
      </c>
      <c r="H26" s="13">
        <f>+SQRT((0.15^2)/12)</f>
        <v>4.3301270189221933E-2</v>
      </c>
      <c r="I26" t="s">
        <v>3</v>
      </c>
      <c r="J26" s="13">
        <f>+SQRT(((0.1^2)/4))</f>
        <v>0.05</v>
      </c>
      <c r="K26" s="13">
        <f>+SQRT((0.18^2)/12)</f>
        <v>5.1961524227066319E-2</v>
      </c>
    </row>
    <row r="27" spans="1:11">
      <c r="G27" t="s">
        <v>72</v>
      </c>
      <c r="H27" s="7">
        <f>8.5/H26</f>
        <v>196.29909152447277</v>
      </c>
      <c r="J27" s="7">
        <f>8.5/J26</f>
        <v>170</v>
      </c>
      <c r="K27" s="7">
        <f>8.5/K26</f>
        <v>163.58257627039396</v>
      </c>
    </row>
    <row r="28" spans="1:11">
      <c r="A28">
        <v>210</v>
      </c>
      <c r="G28" t="s">
        <v>74</v>
      </c>
      <c r="H28" s="7">
        <f>3.14*3.14*210000/(H27*H27)</f>
        <v>53.733114186851211</v>
      </c>
      <c r="I28" t="s">
        <v>1</v>
      </c>
      <c r="J28" s="7">
        <f>3.14*3.14*210000/(J27*J27)</f>
        <v>71.644152249134947</v>
      </c>
      <c r="K28" s="7">
        <f>3.14*3.14*210000/(K27*K27)</f>
        <v>77.375684429065757</v>
      </c>
    </row>
    <row r="29" spans="1:11">
      <c r="G29" t="s">
        <v>77</v>
      </c>
      <c r="H29">
        <v>1125</v>
      </c>
      <c r="I29" t="s">
        <v>80</v>
      </c>
      <c r="J29">
        <f>+H29</f>
        <v>1125</v>
      </c>
      <c r="K29">
        <f>+J29</f>
        <v>1125</v>
      </c>
    </row>
    <row r="30" spans="1:11">
      <c r="A30">
        <v>53.7</v>
      </c>
      <c r="E30" t="s">
        <v>83</v>
      </c>
      <c r="G30" t="s">
        <v>78</v>
      </c>
      <c r="H30">
        <f>+H29/(0.15*0.15*1000)</f>
        <v>50</v>
      </c>
      <c r="I30" t="s">
        <v>1</v>
      </c>
      <c r="J30" s="14">
        <f>+J29/(3.1416*0.1*0.1)/1000</f>
        <v>35.809778456837279</v>
      </c>
      <c r="K30" s="14">
        <f>+K29/(0.18*0.18*1000)</f>
        <v>34.722222222222221</v>
      </c>
    </row>
    <row r="31" spans="1:11">
      <c r="G31" t="s">
        <v>79</v>
      </c>
      <c r="H31" s="8">
        <f>+H28/H30</f>
        <v>1.0746622837370241</v>
      </c>
      <c r="J31" s="7">
        <f>+J28/J30</f>
        <v>2.0006868329411764</v>
      </c>
      <c r="K31" s="7">
        <f>+K28/K30</f>
        <v>2.2284197115570938</v>
      </c>
    </row>
    <row r="32" spans="1:11">
      <c r="B32">
        <v>99</v>
      </c>
      <c r="C32">
        <v>196</v>
      </c>
      <c r="F32" t="s">
        <v>72</v>
      </c>
      <c r="K32" t="s">
        <v>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 3</vt:lpstr>
      <vt:lpstr>Ej 2</vt:lpstr>
      <vt:lpstr>Ej 1</vt:lpstr>
    </vt:vector>
  </TitlesOfParts>
  <Company>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</dc:creator>
  <cp:lastModifiedBy>Rodrigo</cp:lastModifiedBy>
  <cp:lastPrinted>2013-12-12T18:02:09Z</cp:lastPrinted>
  <dcterms:created xsi:type="dcterms:W3CDTF">2009-07-20T18:17:19Z</dcterms:created>
  <dcterms:modified xsi:type="dcterms:W3CDTF">2014-02-25T00:57:08Z</dcterms:modified>
</cp:coreProperties>
</file>