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604503\Downloads\"/>
    </mc:Choice>
  </mc:AlternateContent>
  <bookViews>
    <workbookView xWindow="0" yWindow="0" windowWidth="25125" windowHeight="11925" activeTab="2"/>
  </bookViews>
  <sheets>
    <sheet name="Ejercicio 1" sheetId="1" r:id="rId1"/>
    <sheet name="Ejercicio 2" sheetId="2" r:id="rId2"/>
    <sheet name="Ejercicio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I40" i="3"/>
  <c r="D93" i="3"/>
  <c r="D92" i="3"/>
  <c r="D91" i="3"/>
  <c r="C91" i="3"/>
  <c r="C93" i="3"/>
  <c r="C92" i="3"/>
  <c r="F37" i="3"/>
  <c r="F36" i="3"/>
  <c r="F35" i="3"/>
  <c r="F30" i="3"/>
  <c r="F31" i="3"/>
  <c r="F32" i="3"/>
  <c r="F33" i="3"/>
  <c r="F34" i="3"/>
  <c r="F29" i="3"/>
  <c r="F28" i="3"/>
  <c r="F27" i="3"/>
  <c r="F26" i="3"/>
  <c r="F25" i="3"/>
  <c r="F24" i="3"/>
  <c r="F23" i="3"/>
  <c r="J22" i="3"/>
  <c r="L23" i="3" s="1"/>
  <c r="H22" i="3"/>
  <c r="F22" i="3"/>
  <c r="G15" i="3"/>
  <c r="H6" i="3"/>
  <c r="J6" i="3" s="1"/>
  <c r="L7" i="3" s="1"/>
  <c r="F13" i="3"/>
  <c r="F12" i="3"/>
  <c r="F11" i="3"/>
  <c r="F10" i="3"/>
  <c r="F9" i="3"/>
  <c r="F8" i="3"/>
  <c r="F7" i="3"/>
  <c r="F6" i="3"/>
  <c r="F93" i="3" l="1"/>
  <c r="E93" i="3"/>
  <c r="E92" i="3"/>
  <c r="F92" i="3" s="1"/>
  <c r="E91" i="3"/>
  <c r="F91" i="3" s="1"/>
  <c r="H23" i="3"/>
  <c r="H24" i="3" s="1"/>
  <c r="I22" i="3"/>
  <c r="K23" i="3" s="1"/>
  <c r="J23" i="3"/>
  <c r="I6" i="3"/>
  <c r="K7" i="3" s="1"/>
  <c r="H7" i="3"/>
  <c r="I23" i="3" l="1"/>
  <c r="K24" i="3" s="1"/>
  <c r="L24" i="3"/>
  <c r="H25" i="3"/>
  <c r="J24" i="3"/>
  <c r="I24" i="3"/>
  <c r="I7" i="3"/>
  <c r="K8" i="3" s="1"/>
  <c r="H8" i="3"/>
  <c r="J7" i="3"/>
  <c r="L8" i="3" s="1"/>
  <c r="L25" i="3" l="1"/>
  <c r="K25" i="3"/>
  <c r="H26" i="3"/>
  <c r="I25" i="3"/>
  <c r="C58" i="3" s="1"/>
  <c r="J25" i="3"/>
  <c r="D58" i="3" s="1"/>
  <c r="H9" i="3"/>
  <c r="J8" i="3"/>
  <c r="L9" i="3" s="1"/>
  <c r="I8" i="3"/>
  <c r="K9" i="3" s="1"/>
  <c r="K26" i="3" l="1"/>
  <c r="L26" i="3"/>
  <c r="H27" i="3"/>
  <c r="J26" i="3"/>
  <c r="D59" i="3" s="1"/>
  <c r="I26" i="3"/>
  <c r="C59" i="3" s="1"/>
  <c r="I9" i="3"/>
  <c r="K10" i="3" s="1"/>
  <c r="H10" i="3"/>
  <c r="H11" i="3" s="1"/>
  <c r="J9" i="3"/>
  <c r="L10" i="3" s="1"/>
  <c r="K27" i="3" l="1"/>
  <c r="L27" i="3"/>
  <c r="I11" i="3"/>
  <c r="J11" i="3"/>
  <c r="H12" i="3"/>
  <c r="H28" i="3"/>
  <c r="J27" i="3"/>
  <c r="D60" i="3" s="1"/>
  <c r="I27" i="3"/>
  <c r="C60" i="3" s="1"/>
  <c r="J10" i="3"/>
  <c r="L11" i="3" s="1"/>
  <c r="I10" i="3"/>
  <c r="K11" i="3" s="1"/>
  <c r="K12" i="3" l="1"/>
  <c r="K28" i="3"/>
  <c r="L28" i="3"/>
  <c r="L12" i="3"/>
  <c r="J12" i="3"/>
  <c r="I12" i="3"/>
  <c r="K13" i="3" s="1"/>
  <c r="H13" i="3"/>
  <c r="H29" i="3"/>
  <c r="H30" i="3" s="1"/>
  <c r="J28" i="3"/>
  <c r="D61" i="3" s="1"/>
  <c r="I28" i="3"/>
  <c r="C61" i="3" s="1"/>
  <c r="L13" i="3" l="1"/>
  <c r="L29" i="3"/>
  <c r="K29" i="3"/>
  <c r="C42" i="3"/>
  <c r="I13" i="3"/>
  <c r="J13" i="3"/>
  <c r="H31" i="3"/>
  <c r="I30" i="3"/>
  <c r="C55" i="3" s="1"/>
  <c r="J30" i="3"/>
  <c r="D55" i="3" s="1"/>
  <c r="J29" i="3"/>
  <c r="I29" i="3"/>
  <c r="C62" i="3" s="1"/>
  <c r="D42" i="3" l="1"/>
  <c r="D62" i="3"/>
  <c r="E42" i="3"/>
  <c r="F42" i="3" s="1"/>
  <c r="H42" i="3" s="1"/>
  <c r="C43" i="3"/>
  <c r="L30" i="3"/>
  <c r="L31" i="3" s="1"/>
  <c r="D43" i="3"/>
  <c r="K30" i="3"/>
  <c r="K31" i="3" s="1"/>
  <c r="H32" i="3"/>
  <c r="I31" i="3"/>
  <c r="C56" i="3" s="1"/>
  <c r="J31" i="3"/>
  <c r="D56" i="3" s="1"/>
  <c r="E43" i="3" l="1"/>
  <c r="F43" i="3" s="1"/>
  <c r="H43" i="3" s="1"/>
  <c r="D44" i="3"/>
  <c r="C44" i="3"/>
  <c r="E44" i="3" s="1"/>
  <c r="F44" i="3" s="1"/>
  <c r="H44" i="3" s="1"/>
  <c r="K32" i="3"/>
  <c r="H33" i="3"/>
  <c r="I32" i="3"/>
  <c r="C57" i="3" s="1"/>
  <c r="J32" i="3"/>
  <c r="D57" i="3" s="1"/>
  <c r="L32" i="3"/>
  <c r="C45" i="3" l="1"/>
  <c r="D45" i="3"/>
  <c r="L41" i="3" s="1"/>
  <c r="K33" i="3"/>
  <c r="L33" i="3"/>
  <c r="H34" i="3"/>
  <c r="J33" i="3"/>
  <c r="I33" i="3"/>
  <c r="K34" i="3" s="1"/>
  <c r="F61" i="3" l="1"/>
  <c r="F62" i="3"/>
  <c r="F60" i="3"/>
  <c r="C46" i="3"/>
  <c r="E45" i="3"/>
  <c r="F45" i="3" s="1"/>
  <c r="H45" i="3" s="1"/>
  <c r="K41" i="3"/>
  <c r="D46" i="3"/>
  <c r="F55" i="3"/>
  <c r="H56" i="3" s="1"/>
  <c r="F59" i="3"/>
  <c r="F58" i="3"/>
  <c r="F57" i="3"/>
  <c r="F56" i="3"/>
  <c r="L34" i="3"/>
  <c r="H35" i="3"/>
  <c r="J34" i="3"/>
  <c r="I34" i="3"/>
  <c r="K35" i="3" s="1"/>
  <c r="H57" i="3" l="1"/>
  <c r="H58" i="3" s="1"/>
  <c r="H59" i="3" s="1"/>
  <c r="H60" i="3" s="1"/>
  <c r="H61" i="3" s="1"/>
  <c r="H62" i="3" s="1"/>
  <c r="E61" i="3"/>
  <c r="E60" i="3"/>
  <c r="E62" i="3"/>
  <c r="F64" i="3"/>
  <c r="C47" i="3"/>
  <c r="E58" i="3"/>
  <c r="E56" i="3"/>
  <c r="E55" i="3"/>
  <c r="G56" i="3" s="1"/>
  <c r="E57" i="3"/>
  <c r="E59" i="3"/>
  <c r="E46" i="3"/>
  <c r="F46" i="3" s="1"/>
  <c r="H46" i="3" s="1"/>
  <c r="D47" i="3"/>
  <c r="H36" i="3"/>
  <c r="I35" i="3"/>
  <c r="K36" i="3" s="1"/>
  <c r="J35" i="3"/>
  <c r="D48" i="3" s="1"/>
  <c r="L35" i="3"/>
  <c r="E47" i="3" l="1"/>
  <c r="F47" i="3" s="1"/>
  <c r="H47" i="3" s="1"/>
  <c r="L36" i="3"/>
  <c r="C48" i="3"/>
  <c r="E48" i="3" s="1"/>
  <c r="F48" i="3" s="1"/>
  <c r="H48" i="3" s="1"/>
  <c r="C68" i="3"/>
  <c r="D68" i="3" s="1"/>
  <c r="G57" i="3"/>
  <c r="E64" i="3"/>
  <c r="I36" i="3"/>
  <c r="H37" i="3"/>
  <c r="J36" i="3"/>
  <c r="C69" i="3" l="1"/>
  <c r="D69" i="3" s="1"/>
  <c r="G58" i="3"/>
  <c r="K37" i="3"/>
  <c r="C49" i="3"/>
  <c r="C77" i="3"/>
  <c r="L37" i="3"/>
  <c r="D49" i="3"/>
  <c r="I37" i="3"/>
  <c r="J37" i="3"/>
  <c r="C70" i="3" l="1"/>
  <c r="D70" i="3" s="1"/>
  <c r="C88" i="3" s="1"/>
  <c r="G59" i="3"/>
  <c r="C78" i="3"/>
  <c r="E49" i="3"/>
  <c r="F49" i="3" s="1"/>
  <c r="H49" i="3" s="1"/>
  <c r="E68" i="3"/>
  <c r="F68" i="3" s="1"/>
  <c r="G68" i="3" s="1"/>
  <c r="B18" i="2"/>
  <c r="C18" i="2"/>
  <c r="D18" i="2" s="1"/>
  <c r="F17" i="2"/>
  <c r="E17" i="2"/>
  <c r="D17" i="2"/>
  <c r="C17" i="2"/>
  <c r="B17" i="2"/>
  <c r="F16" i="2"/>
  <c r="E16" i="2"/>
  <c r="D16" i="2"/>
  <c r="C16" i="2"/>
  <c r="B16" i="2"/>
  <c r="F15" i="2"/>
  <c r="E15" i="2"/>
  <c r="D15" i="2"/>
  <c r="C15" i="2"/>
  <c r="B15" i="2"/>
  <c r="B14" i="2"/>
  <c r="F13" i="2"/>
  <c r="E13" i="2"/>
  <c r="D13" i="2"/>
  <c r="C13" i="2"/>
  <c r="B13" i="2"/>
  <c r="F12" i="2"/>
  <c r="E12" i="2"/>
  <c r="D12" i="2"/>
  <c r="C12" i="2"/>
  <c r="G10" i="2"/>
  <c r="F10" i="2"/>
  <c r="F3" i="2"/>
  <c r="G3" i="2"/>
  <c r="F4" i="2"/>
  <c r="G4" i="2"/>
  <c r="F5" i="2"/>
  <c r="G5" i="2"/>
  <c r="F6" i="2"/>
  <c r="G6" i="2"/>
  <c r="F7" i="2"/>
  <c r="G7" i="2"/>
  <c r="F8" i="2"/>
  <c r="G8" i="2"/>
  <c r="G2" i="2"/>
  <c r="F2" i="2"/>
  <c r="B50" i="1"/>
  <c r="H20" i="1"/>
  <c r="I20" i="1"/>
  <c r="C20" i="1"/>
  <c r="H14" i="1"/>
  <c r="E14" i="1"/>
  <c r="D14" i="1"/>
  <c r="H43" i="1"/>
  <c r="D43" i="1"/>
  <c r="D44" i="1"/>
  <c r="H19" i="1"/>
  <c r="I19" i="1"/>
  <c r="B19" i="1"/>
  <c r="H18" i="1"/>
  <c r="B18" i="1"/>
  <c r="H17" i="1"/>
  <c r="B17" i="1"/>
  <c r="H16" i="1"/>
  <c r="B16" i="1"/>
  <c r="H15" i="1"/>
  <c r="E15" i="1"/>
  <c r="E16" i="1"/>
  <c r="E17" i="1"/>
  <c r="E19" i="1"/>
  <c r="D15" i="1"/>
  <c r="I30" i="1"/>
  <c r="H30" i="1"/>
  <c r="D30" i="1"/>
  <c r="D29" i="1"/>
  <c r="D19" i="1"/>
  <c r="C16" i="1"/>
  <c r="D18" i="1"/>
  <c r="C18" i="1"/>
  <c r="D17" i="1"/>
  <c r="C17" i="1"/>
  <c r="B14" i="1"/>
  <c r="C19" i="1"/>
  <c r="E18" i="1"/>
  <c r="D16" i="1"/>
  <c r="B15" i="1"/>
  <c r="C71" i="3" l="1"/>
  <c r="D71" i="3" s="1"/>
  <c r="G60" i="3"/>
  <c r="C81" i="3" s="1"/>
  <c r="C79" i="3"/>
  <c r="C87" i="3"/>
  <c r="E69" i="3"/>
  <c r="F69" i="3" s="1"/>
  <c r="G69" i="3" s="1"/>
  <c r="E18" i="2"/>
  <c r="F18" i="2" s="1"/>
  <c r="C14" i="2"/>
  <c r="J20" i="1"/>
  <c r="K20" i="1" s="1"/>
  <c r="I14" i="1"/>
  <c r="J14" i="1" s="1"/>
  <c r="I43" i="1"/>
  <c r="J43" i="1" s="1"/>
  <c r="J19" i="1"/>
  <c r="K19" i="1" s="1"/>
  <c r="I16" i="1"/>
  <c r="J16" i="1" s="1"/>
  <c r="I15" i="1"/>
  <c r="J15" i="1" s="1"/>
  <c r="K30" i="1"/>
  <c r="J30" i="1"/>
  <c r="I18" i="1"/>
  <c r="I17" i="1"/>
  <c r="C72" i="3" l="1"/>
  <c r="D72" i="3" s="1"/>
  <c r="G61" i="3"/>
  <c r="C82" i="3" s="1"/>
  <c r="D87" i="3"/>
  <c r="E87" i="3" s="1"/>
  <c r="F87" i="3" s="1"/>
  <c r="C80" i="3"/>
  <c r="E70" i="3"/>
  <c r="F70" i="3" s="1"/>
  <c r="G70" i="3" s="1"/>
  <c r="D14" i="2"/>
  <c r="K14" i="1"/>
  <c r="K43" i="1"/>
  <c r="K16" i="1"/>
  <c r="K15" i="1"/>
  <c r="J18" i="1"/>
  <c r="K18" i="1" s="1"/>
  <c r="J17" i="1"/>
  <c r="K17" i="1" s="1"/>
  <c r="G62" i="3" l="1"/>
  <c r="C73" i="3"/>
  <c r="D73" i="3" s="1"/>
  <c r="C89" i="3"/>
  <c r="E71" i="3"/>
  <c r="F71" i="3" s="1"/>
  <c r="D88" i="3"/>
  <c r="E88" i="3" s="1"/>
  <c r="C90" i="3"/>
  <c r="E72" i="3"/>
  <c r="F72" i="3" s="1"/>
  <c r="G72" i="3" s="1"/>
  <c r="E14" i="2"/>
  <c r="F14" i="2" s="1"/>
  <c r="C84" i="3" l="1"/>
  <c r="C83" i="3"/>
  <c r="E73" i="3"/>
  <c r="C75" i="3"/>
  <c r="D75" i="3" s="1"/>
  <c r="C86" i="3" s="1"/>
  <c r="D86" i="3" s="1"/>
  <c r="E86" i="3" s="1"/>
  <c r="C74" i="3"/>
  <c r="D74" i="3" s="1"/>
  <c r="G71" i="3"/>
  <c r="D90" i="3"/>
  <c r="E90" i="3" s="1"/>
  <c r="F88" i="3"/>
  <c r="D89" i="3"/>
  <c r="E89" i="3" s="1"/>
  <c r="F89" i="3" s="1"/>
  <c r="E75" i="3" l="1"/>
  <c r="F73" i="3"/>
  <c r="G73" i="3" s="1"/>
  <c r="E74" i="3"/>
  <c r="F86" i="3"/>
  <c r="F90" i="3"/>
  <c r="F74" i="3" l="1"/>
  <c r="G74" i="3" s="1"/>
  <c r="F75" i="3"/>
  <c r="G75" i="3" s="1"/>
</calcChain>
</file>

<file path=xl/sharedStrings.xml><?xml version="1.0" encoding="utf-8"?>
<sst xmlns="http://schemas.openxmlformats.org/spreadsheetml/2006/main" count="178" uniqueCount="142">
  <si>
    <t>Dirección</t>
  </si>
  <si>
    <t>Acimut</t>
  </si>
  <si>
    <t>Interno</t>
  </si>
  <si>
    <t>Externo</t>
  </si>
  <si>
    <t>De Deflexión</t>
  </si>
  <si>
    <t>PQ</t>
  </si>
  <si>
    <t>QR</t>
  </si>
  <si>
    <t>RS</t>
  </si>
  <si>
    <t>ST</t>
  </si>
  <si>
    <t>TU</t>
  </si>
  <si>
    <t>UP</t>
  </si>
  <si>
    <t>120°18'42"</t>
  </si>
  <si>
    <t>160°52'36"</t>
  </si>
  <si>
    <t>285°41'29"</t>
  </si>
  <si>
    <t>47°52'18"</t>
  </si>
  <si>
    <t>93°48'51"</t>
  </si>
  <si>
    <t>74°18'31"</t>
  </si>
  <si>
    <t>132°7'42"</t>
  </si>
  <si>
    <t>227°52'18"</t>
  </si>
  <si>
    <t>199°7'24"</t>
  </si>
  <si>
    <t>266°11'9"</t>
  </si>
  <si>
    <t>angINT(RS)= 360° - angEXT(RS)</t>
  </si>
  <si>
    <t>angINT(ST)= 360° - angEXT(ST)</t>
  </si>
  <si>
    <t>angINT(TU)= 180° - angDEF(TU)</t>
  </si>
  <si>
    <t>angEXT(TU) = 360° - angINT(TU)</t>
  </si>
  <si>
    <t>angEXT(UP) = 360° - angINT(UP)</t>
  </si>
  <si>
    <t>Az(QP) = Az(PQ)+180°</t>
  </si>
  <si>
    <t>angINT(QR) = Az(QP) - Az(QR)</t>
  </si>
  <si>
    <t>91°26'36"</t>
  </si>
  <si>
    <t>angEXT(QR) = 360° - angINT(QR)</t>
  </si>
  <si>
    <t>268°33'24"</t>
  </si>
  <si>
    <t>angDEF(RS) = 180° - angEXT(RS)</t>
  </si>
  <si>
    <t>19°7'24"</t>
  </si>
  <si>
    <t>angDEF(ST) = 180° - angINT(ST)</t>
  </si>
  <si>
    <t>105°41'29"</t>
  </si>
  <si>
    <t>angDEF(UP) = 180° - angINT(UP)</t>
  </si>
  <si>
    <t>86°11'9"</t>
  </si>
  <si>
    <t>angDEF(QR) = Az(QR)-Az(PQ)</t>
  </si>
  <si>
    <t>88°33'24"</t>
  </si>
  <si>
    <t>Az(RS) = Az(QR) - angDEF(RS)</t>
  </si>
  <si>
    <t>31°45'18"</t>
  </si>
  <si>
    <t>101°11'18"</t>
  </si>
  <si>
    <t>206°52'47</t>
  </si>
  <si>
    <t>Az(ST) = Az(RS)+angDEF(ST)</t>
  </si>
  <si>
    <t>Az(TU) = Az(ST)+ angDEF(TU)</t>
  </si>
  <si>
    <t>Az(UP) = Az(TU)+ angDEF(UP)</t>
  </si>
  <si>
    <t>340°56'14"</t>
  </si>
  <si>
    <t>angINT(PQ) = Az(PU) - Az(PQ)</t>
  </si>
  <si>
    <t>Az(PU) = Az(UP)-180°</t>
  </si>
  <si>
    <t>129°10'56"</t>
  </si>
  <si>
    <t>angEXT(PQ) = 360° - angINT(PQ)</t>
  </si>
  <si>
    <t>230°49'4"</t>
  </si>
  <si>
    <t>angDEF(PQ) = angEXT(PQ) - 180°</t>
  </si>
  <si>
    <t>50°49'4"</t>
  </si>
  <si>
    <t>Parte A</t>
  </si>
  <si>
    <t>Parte B</t>
  </si>
  <si>
    <t>angulos Internos = 180*(n-2)</t>
  </si>
  <si>
    <t xml:space="preserve">angulos internos  </t>
  </si>
  <si>
    <t>se cumple</t>
  </si>
  <si>
    <t>Parte C</t>
  </si>
  <si>
    <t>No es necesario compensar angularmente</t>
  </si>
  <si>
    <t>Az(29-23)</t>
  </si>
  <si>
    <t>Az(23-24)</t>
  </si>
  <si>
    <t>Az(24-25)</t>
  </si>
  <si>
    <t>Az(26-27)</t>
  </si>
  <si>
    <t>Az(25-26)</t>
  </si>
  <si>
    <t>Az(27-28)</t>
  </si>
  <si>
    <t>Az(28-29)</t>
  </si>
  <si>
    <t>Datos de campo y control primario</t>
  </si>
  <si>
    <t>Punto</t>
  </si>
  <si>
    <t>Angulo</t>
  </si>
  <si>
    <t>minuto</t>
  </si>
  <si>
    <t>segundo</t>
  </si>
  <si>
    <t>Ang. Rad</t>
  </si>
  <si>
    <t>distancias</t>
  </si>
  <si>
    <t>Azimuts</t>
  </si>
  <si>
    <t>Proyecciones</t>
  </si>
  <si>
    <t>X</t>
  </si>
  <si>
    <t>Y</t>
  </si>
  <si>
    <t>Seno</t>
  </si>
  <si>
    <t>Coseno</t>
  </si>
  <si>
    <t>sumatoria de angulos</t>
  </si>
  <si>
    <t>sumatoria de distancias</t>
  </si>
  <si>
    <t>Calculo de vectores de cierre</t>
  </si>
  <si>
    <t>1´</t>
  </si>
  <si>
    <t>2´</t>
  </si>
  <si>
    <t>3´</t>
  </si>
  <si>
    <t>4´</t>
  </si>
  <si>
    <t>5´</t>
  </si>
  <si>
    <t>Vectores</t>
  </si>
  <si>
    <t>Error Relativo</t>
  </si>
  <si>
    <t>Tolerancia</t>
  </si>
  <si>
    <t>Ax/Dtotal</t>
  </si>
  <si>
    <t>Ay/Dtotal</t>
  </si>
  <si>
    <t>Ax</t>
  </si>
  <si>
    <t>Ay</t>
  </si>
  <si>
    <t>Modulo</t>
  </si>
  <si>
    <t>Err-Tol</t>
  </si>
  <si>
    <t>1-1'</t>
  </si>
  <si>
    <t>cumple</t>
  </si>
  <si>
    <t>2-2'</t>
  </si>
  <si>
    <t>3-3'</t>
  </si>
  <si>
    <t>4-4'</t>
  </si>
  <si>
    <t>5-5'</t>
  </si>
  <si>
    <t>correccion de proyecciones</t>
  </si>
  <si>
    <t xml:space="preserve">      PROYECCIONES</t>
  </si>
  <si>
    <t xml:space="preserve">        PROYEC. CORREG.</t>
  </si>
  <si>
    <t>PTO</t>
  </si>
  <si>
    <t>SENO</t>
  </si>
  <si>
    <t>COSENO</t>
  </si>
  <si>
    <t>suma</t>
  </si>
  <si>
    <t>calculo de las distancias, azimuts y angulos internos</t>
  </si>
  <si>
    <t>Az12</t>
  </si>
  <si>
    <t>Az23</t>
  </si>
  <si>
    <t>Az34</t>
  </si>
  <si>
    <t>Az45</t>
  </si>
  <si>
    <t>D12</t>
  </si>
  <si>
    <t>D23</t>
  </si>
  <si>
    <t>D34</t>
  </si>
  <si>
    <t>D45</t>
  </si>
  <si>
    <t>a1</t>
  </si>
  <si>
    <t>a2</t>
  </si>
  <si>
    <t>a3</t>
  </si>
  <si>
    <t>a4</t>
  </si>
  <si>
    <t>a5</t>
  </si>
  <si>
    <t>6´</t>
  </si>
  <si>
    <t>7'</t>
  </si>
  <si>
    <t>8'</t>
  </si>
  <si>
    <t>6-6'</t>
  </si>
  <si>
    <t>7-7'</t>
  </si>
  <si>
    <t>8-8'</t>
  </si>
  <si>
    <t>Az56</t>
  </si>
  <si>
    <t>Az67</t>
  </si>
  <si>
    <t>Az78</t>
  </si>
  <si>
    <t>Az81</t>
  </si>
  <si>
    <t>D56</t>
  </si>
  <si>
    <t>D67</t>
  </si>
  <si>
    <t>D78</t>
  </si>
  <si>
    <t>D81</t>
  </si>
  <si>
    <t>a6</t>
  </si>
  <si>
    <t>a7</t>
  </si>
  <si>
    <t>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</si>
</sst>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7" borderId="31" xfId="0" applyFont="1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7" fontId="0" fillId="5" borderId="1" xfId="0" applyNumberFormat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7" fontId="0" fillId="0" borderId="10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16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0" fillId="5" borderId="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2" workbookViewId="0">
      <selection activeCell="A3" sqref="A3:E9"/>
    </sheetView>
  </sheetViews>
  <sheetFormatPr baseColWidth="10" defaultRowHeight="15" x14ac:dyDescent="0.25"/>
  <cols>
    <col min="5" max="5" width="12.85546875" customWidth="1"/>
  </cols>
  <sheetData>
    <row r="1" spans="1:11" x14ac:dyDescent="0.25">
      <c r="A1" t="s">
        <v>54</v>
      </c>
    </row>
    <row r="2" spans="1:11" ht="15.75" thickBot="1" x14ac:dyDescent="0.3"/>
    <row r="3" spans="1:11" ht="15.75" thickBot="1" x14ac:dyDescent="0.3">
      <c r="A3" s="9" t="s">
        <v>0</v>
      </c>
      <c r="B3" s="13" t="s">
        <v>1</v>
      </c>
      <c r="C3" s="14" t="s">
        <v>2</v>
      </c>
      <c r="D3" s="14" t="s">
        <v>3</v>
      </c>
      <c r="E3" s="15" t="s">
        <v>4</v>
      </c>
    </row>
    <row r="4" spans="1:11" x14ac:dyDescent="0.25">
      <c r="A4" s="10" t="s">
        <v>5</v>
      </c>
      <c r="B4" s="21" t="s">
        <v>40</v>
      </c>
      <c r="C4" s="16" t="s">
        <v>49</v>
      </c>
      <c r="D4" s="16" t="s">
        <v>51</v>
      </c>
      <c r="E4" s="18" t="s">
        <v>53</v>
      </c>
    </row>
    <row r="5" spans="1:11" x14ac:dyDescent="0.25">
      <c r="A5" s="11" t="s">
        <v>6</v>
      </c>
      <c r="B5" s="8" t="s">
        <v>11</v>
      </c>
      <c r="C5" s="16" t="s">
        <v>28</v>
      </c>
      <c r="D5" s="16" t="s">
        <v>30</v>
      </c>
      <c r="E5" s="18" t="s">
        <v>38</v>
      </c>
    </row>
    <row r="6" spans="1:11" x14ac:dyDescent="0.25">
      <c r="A6" s="11" t="s">
        <v>7</v>
      </c>
      <c r="B6" s="16" t="s">
        <v>41</v>
      </c>
      <c r="C6" s="16" t="s">
        <v>19</v>
      </c>
      <c r="D6" s="2" t="s">
        <v>12</v>
      </c>
      <c r="E6" s="18" t="s">
        <v>32</v>
      </c>
    </row>
    <row r="7" spans="1:11" x14ac:dyDescent="0.25">
      <c r="A7" s="11" t="s">
        <v>8</v>
      </c>
      <c r="B7" s="16" t="s">
        <v>42</v>
      </c>
      <c r="C7" s="16" t="s">
        <v>16</v>
      </c>
      <c r="D7" s="2" t="s">
        <v>13</v>
      </c>
      <c r="E7" s="18" t="s">
        <v>34</v>
      </c>
    </row>
    <row r="8" spans="1:11" x14ac:dyDescent="0.25">
      <c r="A8" s="11" t="s">
        <v>9</v>
      </c>
      <c r="B8" s="16" t="s">
        <v>42</v>
      </c>
      <c r="C8" s="16" t="s">
        <v>17</v>
      </c>
      <c r="D8" s="16" t="s">
        <v>18</v>
      </c>
      <c r="E8" s="6" t="s">
        <v>14</v>
      </c>
    </row>
    <row r="9" spans="1:11" ht="15.75" thickBot="1" x14ac:dyDescent="0.3">
      <c r="A9" s="12" t="s">
        <v>10</v>
      </c>
      <c r="B9" s="16" t="s">
        <v>46</v>
      </c>
      <c r="C9" s="7" t="s">
        <v>15</v>
      </c>
      <c r="D9" s="17" t="s">
        <v>20</v>
      </c>
      <c r="E9" s="18" t="s">
        <v>36</v>
      </c>
    </row>
    <row r="12" spans="1:11" ht="15.75" thickBot="1" x14ac:dyDescent="0.3"/>
    <row r="13" spans="1:11" ht="15.75" thickBot="1" x14ac:dyDescent="0.3">
      <c r="A13" s="9" t="s">
        <v>0</v>
      </c>
      <c r="B13" s="13" t="s">
        <v>1</v>
      </c>
      <c r="C13" s="14" t="s">
        <v>2</v>
      </c>
      <c r="D13" s="14" t="s">
        <v>3</v>
      </c>
      <c r="E13" s="15" t="s">
        <v>4</v>
      </c>
    </row>
    <row r="14" spans="1:11" x14ac:dyDescent="0.25">
      <c r="A14" s="10" t="s">
        <v>5</v>
      </c>
      <c r="B14" s="21">
        <f>+(31+45/60+18/3600)*PI()/180</f>
        <v>0.55422930397079928</v>
      </c>
      <c r="C14" s="16">
        <v>2.2546551128207639</v>
      </c>
      <c r="D14" s="16">
        <f>2*PI()-C14</f>
        <v>4.0285301943588223</v>
      </c>
      <c r="E14" s="18">
        <f>+D14-PI()</f>
        <v>0.8869375407690292</v>
      </c>
      <c r="H14">
        <f>+E14*180/PI()</f>
        <v>50.817777777777756</v>
      </c>
      <c r="I14">
        <f>+INT(H14)</f>
        <v>50</v>
      </c>
      <c r="J14">
        <f>+INT((H14-I14)*60)</f>
        <v>49</v>
      </c>
      <c r="K14">
        <f>+((H14-I14)*60-J14)*60</f>
        <v>3.999999999923034</v>
      </c>
    </row>
    <row r="15" spans="1:11" x14ac:dyDescent="0.25">
      <c r="A15" s="11" t="s">
        <v>6</v>
      </c>
      <c r="B15" s="8">
        <f>+(120+18/60+42/3600)*PI()/180</f>
        <v>2.0998347118952445</v>
      </c>
      <c r="C15" s="16">
        <v>1.5959872456653477</v>
      </c>
      <c r="D15" s="16">
        <f>2*PI()-C15</f>
        <v>4.6871980615142386</v>
      </c>
      <c r="E15" s="18">
        <f>+B15-B14</f>
        <v>1.5456054079244452</v>
      </c>
      <c r="H15">
        <f>+E15*180/PI()</f>
        <v>88.556666666666672</v>
      </c>
      <c r="I15">
        <f>+INT(H15)</f>
        <v>88</v>
      </c>
      <c r="J15">
        <f>+INT((H15-I15)*60)</f>
        <v>33</v>
      </c>
      <c r="K15">
        <f>+((H15-I15)*60-J15)*60</f>
        <v>24.000000000019099</v>
      </c>
    </row>
    <row r="16" spans="1:11" x14ac:dyDescent="0.25">
      <c r="A16" s="11" t="s">
        <v>7</v>
      </c>
      <c r="B16" s="20">
        <f>+B15-E16</f>
        <v>1.7660695812721956</v>
      </c>
      <c r="C16" s="16">
        <f>2*PI()-D16</f>
        <v>3.475357784212842</v>
      </c>
      <c r="D16" s="2">
        <f>+(160+52/60+36/3600)*PI()/180</f>
        <v>2.8078275229667442</v>
      </c>
      <c r="E16" s="18">
        <f>+PI()-D16</f>
        <v>0.33376513062304891</v>
      </c>
      <c r="H16">
        <f>+B16*180/PI()</f>
        <v>101.18833333333335</v>
      </c>
      <c r="I16">
        <f>+INT(H16)</f>
        <v>101</v>
      </c>
      <c r="J16">
        <f>+INT((H16-I16)*60)</f>
        <v>11</v>
      </c>
      <c r="K16">
        <f>+((H16-I16)*60-J16)*60</f>
        <v>18.000000000048431</v>
      </c>
    </row>
    <row r="17" spans="1:11" x14ac:dyDescent="0.25">
      <c r="A17" s="11" t="s">
        <v>8</v>
      </c>
      <c r="B17" s="20">
        <f>+B16+E17</f>
        <v>3.6107323083890579</v>
      </c>
      <c r="C17" s="16">
        <f>2*PI()-D17</f>
        <v>1.2969299264729308</v>
      </c>
      <c r="D17" s="2">
        <f>+(285+41/60+29/3600)*PI()/180</f>
        <v>4.9862553807066554</v>
      </c>
      <c r="E17" s="18">
        <f>+PI()-C17</f>
        <v>1.8446627271168623</v>
      </c>
      <c r="H17">
        <f>+B17*180/PI()</f>
        <v>206.87972222222223</v>
      </c>
      <c r="I17">
        <f>+INT(H17)</f>
        <v>206</v>
      </c>
      <c r="J17">
        <f>+INT((H17-I17)*60)</f>
        <v>52</v>
      </c>
      <c r="K17">
        <f>+((H17-I17)*60-J17)*60</f>
        <v>47.000000000018645</v>
      </c>
    </row>
    <row r="18" spans="1:11" x14ac:dyDescent="0.25">
      <c r="A18" s="11" t="s">
        <v>9</v>
      </c>
      <c r="B18" s="16">
        <f>+B17+E18</f>
        <v>4.4462505101396097</v>
      </c>
      <c r="C18" s="16">
        <f>+PI()-E18</f>
        <v>2.3060744518392409</v>
      </c>
      <c r="D18" s="16">
        <f>2*PI()-C18</f>
        <v>3.9771108553403454</v>
      </c>
      <c r="E18" s="6">
        <f>+(47+52/60+18/3600)*PI()/180</f>
        <v>0.83551820175055225</v>
      </c>
      <c r="H18">
        <f>+B18*180/PI()</f>
        <v>254.7513888888889</v>
      </c>
      <c r="I18">
        <f>+INT(H18)</f>
        <v>254</v>
      </c>
      <c r="J18">
        <f>+INT((H18-I18)*60)</f>
        <v>45</v>
      </c>
      <c r="K18">
        <f>+((H18-I18)*60-J18)*60</f>
        <v>5.0000000000295586</v>
      </c>
    </row>
    <row r="19" spans="1:11" ht="15.75" thickBot="1" x14ac:dyDescent="0.3">
      <c r="A19" s="12" t="s">
        <v>10</v>
      </c>
      <c r="B19" s="16">
        <f>+B18+E19</f>
        <v>5.9504770703813561</v>
      </c>
      <c r="C19" s="7">
        <f>+(93+48/60+51/3600)*PI()/180</f>
        <v>1.6373660933480469</v>
      </c>
      <c r="D19" s="17">
        <f>2*PI()-C19</f>
        <v>4.6458192138315395</v>
      </c>
      <c r="E19" s="19">
        <f>+PI()-C19</f>
        <v>1.5042265602417462</v>
      </c>
      <c r="H19">
        <f>+B19*180/PI()</f>
        <v>340.9372222222222</v>
      </c>
      <c r="I19">
        <f>+INT(H19)</f>
        <v>340</v>
      </c>
      <c r="J19">
        <f>+INT((H19-I19)*60)</f>
        <v>56</v>
      </c>
      <c r="K19">
        <f>+((H19-I19)*60-J19)*60</f>
        <v>13.999999999932697</v>
      </c>
    </row>
    <row r="20" spans="1:11" x14ac:dyDescent="0.25">
      <c r="C20">
        <f>+SUM(C14:C19)</f>
        <v>12.566370614359172</v>
      </c>
      <c r="H20">
        <f>+C20*180/PI()</f>
        <v>720</v>
      </c>
      <c r="I20">
        <f>+INT(H20)</f>
        <v>720</v>
      </c>
      <c r="J20">
        <f>+INT((H20-I20)*60)</f>
        <v>0</v>
      </c>
      <c r="K20">
        <f>+((H20-I20)*60-J20)*60</f>
        <v>0</v>
      </c>
    </row>
    <row r="23" spans="1:11" x14ac:dyDescent="0.25">
      <c r="A23" t="s">
        <v>21</v>
      </c>
    </row>
    <row r="24" spans="1:11" x14ac:dyDescent="0.25">
      <c r="A24" t="s">
        <v>22</v>
      </c>
    </row>
    <row r="25" spans="1:11" x14ac:dyDescent="0.25">
      <c r="A25" t="s">
        <v>23</v>
      </c>
    </row>
    <row r="26" spans="1:11" x14ac:dyDescent="0.25">
      <c r="A26" t="s">
        <v>24</v>
      </c>
    </row>
    <row r="27" spans="1:11" x14ac:dyDescent="0.25">
      <c r="A27" t="s">
        <v>25</v>
      </c>
    </row>
    <row r="29" spans="1:11" x14ac:dyDescent="0.25">
      <c r="A29" t="s">
        <v>26</v>
      </c>
      <c r="D29">
        <f>+B14+PI()</f>
        <v>3.6958219575605922</v>
      </c>
    </row>
    <row r="30" spans="1:11" x14ac:dyDescent="0.25">
      <c r="A30" t="s">
        <v>27</v>
      </c>
      <c r="D30">
        <f>+D29-B15</f>
        <v>1.5959872456653477</v>
      </c>
      <c r="H30">
        <f>+D30*180/PI()</f>
        <v>91.443333333333314</v>
      </c>
      <c r="I30">
        <f>+INT(H30)</f>
        <v>91</v>
      </c>
      <c r="J30">
        <f>+INT((H30-I30)*60)</f>
        <v>26</v>
      </c>
      <c r="K30">
        <f>+((H30-I30)*60-J30)*60</f>
        <v>35.999999999929742</v>
      </c>
    </row>
    <row r="31" spans="1:11" x14ac:dyDescent="0.25">
      <c r="A31" t="s">
        <v>29</v>
      </c>
    </row>
    <row r="33" spans="1:11" x14ac:dyDescent="0.25">
      <c r="A33" t="s">
        <v>31</v>
      </c>
    </row>
    <row r="34" spans="1:11" x14ac:dyDescent="0.25">
      <c r="A34" t="s">
        <v>33</v>
      </c>
    </row>
    <row r="35" spans="1:11" x14ac:dyDescent="0.25">
      <c r="A35" t="s">
        <v>35</v>
      </c>
    </row>
    <row r="36" spans="1:11" x14ac:dyDescent="0.25">
      <c r="A36" t="s">
        <v>37</v>
      </c>
    </row>
    <row r="38" spans="1:11" x14ac:dyDescent="0.25">
      <c r="A38" t="s">
        <v>39</v>
      </c>
    </row>
    <row r="39" spans="1:11" x14ac:dyDescent="0.25">
      <c r="A39" t="s">
        <v>43</v>
      </c>
    </row>
    <row r="40" spans="1:11" x14ac:dyDescent="0.25">
      <c r="A40" t="s">
        <v>44</v>
      </c>
    </row>
    <row r="41" spans="1:11" x14ac:dyDescent="0.25">
      <c r="A41" t="s">
        <v>45</v>
      </c>
    </row>
    <row r="43" spans="1:11" x14ac:dyDescent="0.25">
      <c r="A43" t="s">
        <v>47</v>
      </c>
      <c r="D43">
        <f>+D44-B14</f>
        <v>2.2546551128207639</v>
      </c>
      <c r="H43">
        <f>+D43*180/PI()</f>
        <v>129.18222222222224</v>
      </c>
      <c r="I43">
        <f>+INT(H43)</f>
        <v>129</v>
      </c>
      <c r="J43">
        <f>+INT((H43-I43)*60)</f>
        <v>10</v>
      </c>
      <c r="K43">
        <f>+((H43-I43)*60-J43)*60</f>
        <v>56.000000000051386</v>
      </c>
    </row>
    <row r="44" spans="1:11" x14ac:dyDescent="0.25">
      <c r="A44" t="s">
        <v>48</v>
      </c>
      <c r="D44">
        <f>+B19-PI()</f>
        <v>2.808884416791563</v>
      </c>
    </row>
    <row r="45" spans="1:11" x14ac:dyDescent="0.25">
      <c r="A45" t="s">
        <v>50</v>
      </c>
    </row>
    <row r="46" spans="1:11" x14ac:dyDescent="0.25">
      <c r="A46" t="s">
        <v>52</v>
      </c>
    </row>
    <row r="48" spans="1:11" x14ac:dyDescent="0.25">
      <c r="A48" t="s">
        <v>55</v>
      </c>
    </row>
    <row r="49" spans="1:4" x14ac:dyDescent="0.25">
      <c r="A49" t="s">
        <v>56</v>
      </c>
    </row>
    <row r="50" spans="1:4" x14ac:dyDescent="0.25">
      <c r="A50" t="s">
        <v>57</v>
      </c>
      <c r="B50">
        <f>180*(6-2)</f>
        <v>720</v>
      </c>
      <c r="D50" t="s">
        <v>58</v>
      </c>
    </row>
    <row r="53" spans="1:4" x14ac:dyDescent="0.25">
      <c r="A53" t="s">
        <v>59</v>
      </c>
    </row>
    <row r="54" spans="1:4" x14ac:dyDescent="0.25">
      <c r="A54" t="s"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B18" sqref="B18"/>
    </sheetView>
  </sheetViews>
  <sheetFormatPr baseColWidth="10" defaultRowHeight="15" x14ac:dyDescent="0.25"/>
  <sheetData>
    <row r="2" spans="1:7" x14ac:dyDescent="0.25">
      <c r="A2">
        <v>23</v>
      </c>
      <c r="B2">
        <v>261</v>
      </c>
      <c r="C2">
        <v>31</v>
      </c>
      <c r="D2">
        <v>26</v>
      </c>
      <c r="F2">
        <f>+B2+C2/60+D2/3600</f>
        <v>261.52388888888885</v>
      </c>
      <c r="G2">
        <f>+F2*PI()/180</f>
        <v>4.5644529337309256</v>
      </c>
    </row>
    <row r="3" spans="1:7" x14ac:dyDescent="0.25">
      <c r="A3">
        <v>24</v>
      </c>
      <c r="B3">
        <v>98</v>
      </c>
      <c r="C3">
        <v>3</v>
      </c>
      <c r="D3">
        <v>59</v>
      </c>
      <c r="F3">
        <f t="shared" ref="F3:F10" si="0">+B3+C3/60+D3/3600</f>
        <v>98.066388888888881</v>
      </c>
      <c r="G3">
        <f t="shared" ref="G3:G10" si="1">+F3*PI()/180</f>
        <v>1.7115813716522945</v>
      </c>
    </row>
    <row r="4" spans="1:7" x14ac:dyDescent="0.25">
      <c r="A4">
        <v>25</v>
      </c>
      <c r="B4">
        <v>93</v>
      </c>
      <c r="C4">
        <v>2</v>
      </c>
      <c r="D4">
        <v>6</v>
      </c>
      <c r="F4">
        <f t="shared" si="0"/>
        <v>93.034999999999997</v>
      </c>
      <c r="G4">
        <f t="shared" si="1"/>
        <v>1.6237670695929245</v>
      </c>
    </row>
    <row r="5" spans="1:7" x14ac:dyDescent="0.25">
      <c r="A5">
        <v>26</v>
      </c>
      <c r="B5">
        <v>121</v>
      </c>
      <c r="C5">
        <v>44</v>
      </c>
      <c r="D5">
        <v>12</v>
      </c>
      <c r="F5">
        <f t="shared" si="0"/>
        <v>121.73666666666666</v>
      </c>
      <c r="G5">
        <f t="shared" si="1"/>
        <v>2.1247056537361635</v>
      </c>
    </row>
    <row r="6" spans="1:7" x14ac:dyDescent="0.25">
      <c r="A6">
        <v>27</v>
      </c>
      <c r="B6">
        <v>97</v>
      </c>
      <c r="C6">
        <v>10</v>
      </c>
      <c r="D6">
        <v>7</v>
      </c>
      <c r="F6">
        <f t="shared" si="0"/>
        <v>97.168611111111119</v>
      </c>
      <c r="G6">
        <f t="shared" si="1"/>
        <v>1.6959121934788348</v>
      </c>
    </row>
    <row r="7" spans="1:7" x14ac:dyDescent="0.25">
      <c r="A7">
        <v>28</v>
      </c>
      <c r="B7">
        <v>196</v>
      </c>
      <c r="C7">
        <v>4</v>
      </c>
      <c r="D7">
        <v>10</v>
      </c>
      <c r="F7">
        <f t="shared" si="0"/>
        <v>196.06944444444443</v>
      </c>
      <c r="G7">
        <f t="shared" si="1"/>
        <v>3.4220573681116591</v>
      </c>
    </row>
    <row r="8" spans="1:7" x14ac:dyDescent="0.25">
      <c r="A8">
        <v>29</v>
      </c>
      <c r="B8">
        <v>32</v>
      </c>
      <c r="C8">
        <v>24</v>
      </c>
      <c r="D8">
        <v>0</v>
      </c>
      <c r="F8">
        <f t="shared" si="0"/>
        <v>32.4</v>
      </c>
      <c r="G8">
        <f t="shared" si="1"/>
        <v>0.56548667764616267</v>
      </c>
    </row>
    <row r="10" spans="1:7" x14ac:dyDescent="0.25">
      <c r="A10" t="s">
        <v>61</v>
      </c>
      <c r="B10">
        <v>41</v>
      </c>
      <c r="C10">
        <v>10</v>
      </c>
      <c r="D10">
        <v>35</v>
      </c>
      <c r="F10">
        <f t="shared" si="0"/>
        <v>41.176388888888887</v>
      </c>
      <c r="G10">
        <f t="shared" si="1"/>
        <v>0.7186635601927206</v>
      </c>
    </row>
    <row r="12" spans="1:7" x14ac:dyDescent="0.25">
      <c r="A12" t="s">
        <v>62</v>
      </c>
      <c r="B12">
        <f>+G10+G2-PI()</f>
        <v>2.1415238403338535</v>
      </c>
      <c r="C12">
        <f>+B12*180/PI()</f>
        <v>122.70027777777779</v>
      </c>
      <c r="D12">
        <f>+INT(C12)</f>
        <v>122</v>
      </c>
      <c r="E12">
        <f>+INT((C12-D12)*60)</f>
        <v>42</v>
      </c>
      <c r="F12">
        <f>+((C12-D12)*60-E12)*60</f>
        <v>1.0000000000263753</v>
      </c>
    </row>
    <row r="13" spans="1:7" x14ac:dyDescent="0.25">
      <c r="A13" t="s">
        <v>63</v>
      </c>
      <c r="B13">
        <f>+B12+G3-PI()</f>
        <v>0.71151255839635486</v>
      </c>
      <c r="C13">
        <f>+B13*180/PI()</f>
        <v>40.766666666666659</v>
      </c>
      <c r="D13">
        <f>+INT(C13)</f>
        <v>40</v>
      </c>
      <c r="E13">
        <f>+INT((C13-D13)*60)</f>
        <v>45</v>
      </c>
      <c r="F13">
        <f>+((C13-D13)*60-E13)*60</f>
        <v>59.99999999997101</v>
      </c>
    </row>
    <row r="14" spans="1:7" x14ac:dyDescent="0.25">
      <c r="A14" t="s">
        <v>65</v>
      </c>
      <c r="B14">
        <f>+B13+G4+PI()</f>
        <v>5.4768722815790722</v>
      </c>
      <c r="C14">
        <f>+B14*180/PI()</f>
        <v>313.80166666666662</v>
      </c>
      <c r="D14">
        <f>+INT(C14)</f>
        <v>313</v>
      </c>
      <c r="E14">
        <f>+INT((C14-D14)*60)</f>
        <v>48</v>
      </c>
      <c r="F14">
        <f>+((C14-D14)*60-E14)*60</f>
        <v>5.999999999830834</v>
      </c>
    </row>
    <row r="15" spans="1:7" x14ac:dyDescent="0.25">
      <c r="A15" t="s">
        <v>64</v>
      </c>
      <c r="B15">
        <f>+B14+G5-PI()</f>
        <v>4.4599852817254426</v>
      </c>
      <c r="C15">
        <f>+B15*180/PI()</f>
        <v>255.5383333333333</v>
      </c>
      <c r="D15">
        <f>+INT(C15)</f>
        <v>255</v>
      </c>
      <c r="E15">
        <f>+INT((C15-D15)*60)</f>
        <v>32</v>
      </c>
      <c r="F15">
        <f>+((C15-D15)*60-E15)*60</f>
        <v>17.99999999987449</v>
      </c>
    </row>
    <row r="16" spans="1:7" x14ac:dyDescent="0.25">
      <c r="A16" t="s">
        <v>66</v>
      </c>
      <c r="B16">
        <f>+B15+G6-PI()</f>
        <v>3.0143048216144841</v>
      </c>
      <c r="C16">
        <f>+B16*180/PI()</f>
        <v>172.70694444444442</v>
      </c>
      <c r="D16">
        <f>+INT(C16)</f>
        <v>172</v>
      </c>
      <c r="E16">
        <f>+INT((C16-D16)*60)</f>
        <v>42</v>
      </c>
      <c r="F16">
        <f>+((C16-D16)*60-E16)*60</f>
        <v>24.999999999902229</v>
      </c>
    </row>
    <row r="17" spans="1:6" x14ac:dyDescent="0.25">
      <c r="A17" t="s">
        <v>67</v>
      </c>
      <c r="B17">
        <f>+B16+G7-PI()</f>
        <v>3.29476953613635</v>
      </c>
      <c r="C17">
        <f>+B17*180/PI()</f>
        <v>188.77638888888885</v>
      </c>
      <c r="D17">
        <f>+INT(C17)</f>
        <v>188</v>
      </c>
      <c r="E17">
        <f>+INT((C17-D17)*60)</f>
        <v>46</v>
      </c>
      <c r="F17">
        <f>+((C17-D17)*60-E17)*60</f>
        <v>34.999999999845386</v>
      </c>
    </row>
    <row r="18" spans="1:6" x14ac:dyDescent="0.25">
      <c r="A18" t="s">
        <v>61</v>
      </c>
      <c r="B18">
        <f>+B17+G8-PI()</f>
        <v>0.7186635601927196</v>
      </c>
      <c r="C18">
        <f>+B18*180/PI()</f>
        <v>41.17638888888883</v>
      </c>
      <c r="D18">
        <f>+INT(C18)</f>
        <v>41</v>
      </c>
      <c r="E18">
        <f>+INT((C18-D18)*60)</f>
        <v>10</v>
      </c>
      <c r="F18">
        <f>+((C18-D18)*60-E18)*60</f>
        <v>34.999999999789111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6"/>
  <sheetViews>
    <sheetView tabSelected="1" topLeftCell="A87" workbookViewId="0">
      <selection activeCell="B66" sqref="B66:L93"/>
    </sheetView>
  </sheetViews>
  <sheetFormatPr baseColWidth="10" defaultRowHeight="15" x14ac:dyDescent="0.25"/>
  <cols>
    <col min="2" max="3" width="11.42578125" style="1"/>
    <col min="4" max="4" width="12" style="1" bestFit="1" customWidth="1"/>
    <col min="5" max="5" width="11.42578125" style="1"/>
    <col min="6" max="6" width="11.5703125" style="1" customWidth="1"/>
    <col min="7" max="7" width="12.140625" style="1" customWidth="1"/>
    <col min="8" max="8" width="13.5703125" style="1" customWidth="1"/>
    <col min="9" max="9" width="11.42578125" style="1"/>
    <col min="10" max="10" width="12" style="1" bestFit="1" customWidth="1"/>
    <col min="11" max="12" width="12.7109375" style="1" bestFit="1" customWidth="1"/>
  </cols>
  <sheetData>
    <row r="1" spans="2:12" ht="15.75" thickBot="1" x14ac:dyDescent="0.3"/>
    <row r="2" spans="2:12" ht="15.75" thickBot="1" x14ac:dyDescent="0.3">
      <c r="B2" s="22" t="s">
        <v>68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ht="15.75" thickBot="1" x14ac:dyDescent="0.3"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25">
      <c r="B4" s="28" t="s">
        <v>69</v>
      </c>
      <c r="C4" s="29" t="s">
        <v>70</v>
      </c>
      <c r="D4" s="29" t="s">
        <v>71</v>
      </c>
      <c r="E4" s="29" t="s">
        <v>72</v>
      </c>
      <c r="F4" s="29" t="s">
        <v>73</v>
      </c>
      <c r="G4" s="29" t="s">
        <v>74</v>
      </c>
      <c r="H4" s="29" t="s">
        <v>75</v>
      </c>
      <c r="I4" s="29" t="s">
        <v>76</v>
      </c>
      <c r="J4" s="29"/>
      <c r="K4" s="29" t="s">
        <v>77</v>
      </c>
      <c r="L4" s="30" t="s">
        <v>78</v>
      </c>
    </row>
    <row r="5" spans="2:12" ht="15.75" thickBot="1" x14ac:dyDescent="0.3">
      <c r="B5" s="75"/>
      <c r="C5" s="76"/>
      <c r="D5" s="76"/>
      <c r="E5" s="76"/>
      <c r="F5" s="76"/>
      <c r="G5" s="76"/>
      <c r="H5" s="76"/>
      <c r="I5" s="77" t="s">
        <v>79</v>
      </c>
      <c r="J5" s="77" t="s">
        <v>80</v>
      </c>
      <c r="K5" s="76"/>
      <c r="L5" s="78"/>
    </row>
    <row r="6" spans="2:12" x14ac:dyDescent="0.25">
      <c r="B6" s="79">
        <v>1</v>
      </c>
      <c r="C6" s="72">
        <v>67</v>
      </c>
      <c r="D6" s="72">
        <v>17</v>
      </c>
      <c r="E6" s="72">
        <v>38</v>
      </c>
      <c r="F6" s="72">
        <f>+(C6+D6/60+E6/3600)*PI()/180</f>
        <v>1.1744999275823398</v>
      </c>
      <c r="G6" s="72">
        <v>565.38099999999997</v>
      </c>
      <c r="H6" s="72">
        <f>((67+17/60+38/3600)+(75+36/60+46/3600))*PI()/180</f>
        <v>2.4941918563833627</v>
      </c>
      <c r="I6" s="72">
        <f>+G6*SIN(H6)</f>
        <v>340.98986389911028</v>
      </c>
      <c r="J6" s="72">
        <f>+G6*COS(H6)</f>
        <v>-450.97847828811763</v>
      </c>
      <c r="K6" s="81">
        <v>5000</v>
      </c>
      <c r="L6" s="82">
        <v>10000</v>
      </c>
    </row>
    <row r="7" spans="2:12" x14ac:dyDescent="0.25">
      <c r="B7" s="32">
        <v>2</v>
      </c>
      <c r="C7" s="33">
        <v>237</v>
      </c>
      <c r="D7" s="33">
        <v>59</v>
      </c>
      <c r="E7" s="33">
        <v>45</v>
      </c>
      <c r="F7" s="33">
        <f>+(C7+D7/60+E7/3600)*PI()/180</f>
        <v>4.1538108976943375</v>
      </c>
      <c r="G7" s="33">
        <v>650.35199999999998</v>
      </c>
      <c r="H7" s="33">
        <f>IF((H6)+(F7)&lt;PI(), (((H6)+PI()+(F7))), ((F7)-PI()+(H6)))</f>
        <v>3.5064101004879071</v>
      </c>
      <c r="I7" s="33">
        <f t="shared" ref="I7:I10" si="0">+G7*SIN(H7)</f>
        <v>-232.0317809949471</v>
      </c>
      <c r="J7" s="33">
        <f t="shared" ref="J7:J10" si="1">+G7*COS(H7)</f>
        <v>-607.55162456561072</v>
      </c>
      <c r="K7" s="83">
        <f t="shared" ref="K7:L10" si="2">+K6+I6</f>
        <v>5340.9898638991099</v>
      </c>
      <c r="L7" s="84">
        <f t="shared" si="2"/>
        <v>9549.0215217118821</v>
      </c>
    </row>
    <row r="8" spans="2:12" x14ac:dyDescent="0.25">
      <c r="B8" s="32">
        <v>3</v>
      </c>
      <c r="C8" s="33">
        <v>101</v>
      </c>
      <c r="D8" s="33">
        <v>13</v>
      </c>
      <c r="E8" s="33">
        <v>23</v>
      </c>
      <c r="F8" s="33">
        <f>+(C8+D8/60+E8/3600)*PI()/180</f>
        <v>1.7666755983735825</v>
      </c>
      <c r="G8" s="33">
        <v>661.20500000000004</v>
      </c>
      <c r="H8" s="33">
        <f>IF((H7)+(F8)&lt;PI(), (((H7)+PI()+(F8))), ((F8)-PI()+(H7)))</f>
        <v>2.1314930452716965</v>
      </c>
      <c r="I8" s="33">
        <f t="shared" si="0"/>
        <v>559.96447619729486</v>
      </c>
      <c r="J8" s="33">
        <f t="shared" si="1"/>
        <v>-351.61319290107588</v>
      </c>
      <c r="K8" s="83">
        <f t="shared" si="2"/>
        <v>5108.9580829041624</v>
      </c>
      <c r="L8" s="84">
        <f t="shared" si="2"/>
        <v>8941.4698971462713</v>
      </c>
    </row>
    <row r="9" spans="2:12" x14ac:dyDescent="0.25">
      <c r="B9" s="32">
        <v>4</v>
      </c>
      <c r="C9" s="33">
        <v>136</v>
      </c>
      <c r="D9" s="33">
        <v>40</v>
      </c>
      <c r="E9" s="33">
        <v>14</v>
      </c>
      <c r="F9" s="33">
        <f>+(C9+D9/60+E9/3600)*PI()/180</f>
        <v>2.3853511849742723</v>
      </c>
      <c r="G9" s="33">
        <v>905.31100000000004</v>
      </c>
      <c r="H9" s="33">
        <f>IF((H8)+(F9)&lt;PI(), (((H8)+PI()+(F9))), ((F9)-PI()+(H8)))</f>
        <v>1.3752515766561757</v>
      </c>
      <c r="I9" s="33">
        <f t="shared" si="0"/>
        <v>888.0575554801278</v>
      </c>
      <c r="J9" s="33">
        <f t="shared" si="1"/>
        <v>175.90277108579016</v>
      </c>
      <c r="K9" s="83">
        <f t="shared" si="2"/>
        <v>5668.9225591014574</v>
      </c>
      <c r="L9" s="84">
        <f t="shared" si="2"/>
        <v>8589.8567042451959</v>
      </c>
    </row>
    <row r="10" spans="2:12" x14ac:dyDescent="0.25">
      <c r="B10" s="32">
        <v>5</v>
      </c>
      <c r="C10" s="33">
        <v>130</v>
      </c>
      <c r="D10" s="33">
        <v>2</v>
      </c>
      <c r="E10" s="33">
        <v>4</v>
      </c>
      <c r="F10" s="33">
        <f>+(C10+D10/60+E10/3600)*PI()/180</f>
        <v>2.2695291965572038</v>
      </c>
      <c r="G10" s="33">
        <v>729.93600000000004</v>
      </c>
      <c r="H10" s="33">
        <f>IF((H9)+(F10)&lt;PI(), (((H9)+PI()+(F10))), ((F10)-PI()+(H9)))</f>
        <v>0.50318811962358634</v>
      </c>
      <c r="I10" s="33">
        <f t="shared" si="0"/>
        <v>351.99042083891607</v>
      </c>
      <c r="J10" s="33">
        <f t="shared" si="1"/>
        <v>639.46016899697736</v>
      </c>
      <c r="K10" s="83">
        <f t="shared" si="2"/>
        <v>6556.9801145815854</v>
      </c>
      <c r="L10" s="84">
        <f t="shared" si="2"/>
        <v>8765.7594753309859</v>
      </c>
    </row>
    <row r="11" spans="2:12" x14ac:dyDescent="0.25">
      <c r="B11" s="32">
        <v>6</v>
      </c>
      <c r="C11" s="33">
        <v>126</v>
      </c>
      <c r="D11" s="33">
        <v>38</v>
      </c>
      <c r="E11" s="33">
        <v>14</v>
      </c>
      <c r="F11" s="33">
        <f>+(C11+D11/60+E11/3600)*PI()/180</f>
        <v>2.2102364833575079</v>
      </c>
      <c r="G11" s="33">
        <v>597.41499999999996</v>
      </c>
      <c r="H11" s="33">
        <f t="shared" ref="H11:H13" si="3">IF((H10)+(F11)&lt;PI(), (((H10)+PI()+(F11))), ((F11)-PI()+(H10)))</f>
        <v>5.8550172565708873</v>
      </c>
      <c r="I11" s="33">
        <f t="shared" ref="I11:I13" si="4">+G11*SIN(H11)</f>
        <v>-248.04965002496874</v>
      </c>
      <c r="J11" s="33">
        <f t="shared" ref="J11:J13" si="5">+G11*COS(H11)</f>
        <v>543.48509947144862</v>
      </c>
      <c r="K11" s="83">
        <f t="shared" ref="K11:K13" si="6">+K10+I10</f>
        <v>6908.9705354205016</v>
      </c>
      <c r="L11" s="84">
        <f t="shared" ref="L11:L13" si="7">+L10+J10</f>
        <v>9405.2196443279627</v>
      </c>
    </row>
    <row r="12" spans="2:12" x14ac:dyDescent="0.25">
      <c r="B12" s="32">
        <v>7</v>
      </c>
      <c r="C12" s="33">
        <v>131</v>
      </c>
      <c r="D12" s="33">
        <v>1</v>
      </c>
      <c r="E12" s="33">
        <v>4</v>
      </c>
      <c r="F12" s="33">
        <f>+(C12+D12/60+E12/3600)*PI()/180</f>
        <v>2.2866916008684819</v>
      </c>
      <c r="G12" s="33">
        <v>901.15800000000002</v>
      </c>
      <c r="H12" s="33">
        <f t="shared" si="3"/>
        <v>5.0001162038495757</v>
      </c>
      <c r="I12" s="33">
        <f t="shared" si="4"/>
        <v>-864.11257112767851</v>
      </c>
      <c r="J12" s="33">
        <f t="shared" si="5"/>
        <v>255.72486266124503</v>
      </c>
      <c r="K12" s="83">
        <f t="shared" si="6"/>
        <v>6660.9208853955333</v>
      </c>
      <c r="L12" s="84">
        <f t="shared" si="7"/>
        <v>9948.7047437994115</v>
      </c>
    </row>
    <row r="13" spans="2:12" ht="15.75" thickBot="1" x14ac:dyDescent="0.3">
      <c r="B13" s="34">
        <v>8</v>
      </c>
      <c r="C13" s="35">
        <v>149</v>
      </c>
      <c r="D13" s="35">
        <v>7</v>
      </c>
      <c r="E13" s="35">
        <v>22</v>
      </c>
      <c r="F13" s="35">
        <f>+(C13+D13/60+E13/3600)*PI()/180</f>
        <v>2.6026834619420556</v>
      </c>
      <c r="G13" s="35">
        <v>822.82600000000002</v>
      </c>
      <c r="H13" s="35">
        <f t="shared" si="3"/>
        <v>4.4612070122018377</v>
      </c>
      <c r="I13" s="35">
        <f t="shared" si="4"/>
        <v>-797.00516171876257</v>
      </c>
      <c r="J13" s="35">
        <f t="shared" si="5"/>
        <v>-204.51258755795226</v>
      </c>
      <c r="K13" s="85">
        <f t="shared" si="6"/>
        <v>5796.8083142678552</v>
      </c>
      <c r="L13" s="86">
        <f t="shared" si="7"/>
        <v>10204.429606460657</v>
      </c>
    </row>
    <row r="14" spans="2:12" ht="15.75" thickBot="1" x14ac:dyDescent="0.3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2:12" ht="45.75" thickBot="1" x14ac:dyDescent="0.3">
      <c r="B15" s="39" t="s">
        <v>81</v>
      </c>
      <c r="C15" s="40">
        <v>1079</v>
      </c>
      <c r="D15" s="40">
        <v>59</v>
      </c>
      <c r="E15" s="40">
        <v>44</v>
      </c>
      <c r="F15" s="41" t="s">
        <v>82</v>
      </c>
      <c r="G15" s="42">
        <f>+SUM(G6:G13)</f>
        <v>5833.5840000000007</v>
      </c>
      <c r="H15" s="43"/>
      <c r="I15" s="43"/>
      <c r="J15" s="43"/>
      <c r="K15" s="43"/>
      <c r="L15" s="44"/>
    </row>
    <row r="16" spans="2:12" x14ac:dyDescent="0.25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2:12" ht="15.75" thickBot="1" x14ac:dyDescent="0.3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2:12" ht="15.75" thickBot="1" x14ac:dyDescent="0.3">
      <c r="B18" s="46" t="s">
        <v>83</v>
      </c>
      <c r="C18" s="47"/>
      <c r="D18" s="47"/>
      <c r="E18" s="47"/>
      <c r="F18" s="47"/>
      <c r="G18" s="47"/>
      <c r="H18" s="47"/>
      <c r="I18" s="47"/>
      <c r="J18" s="47"/>
      <c r="K18" s="47"/>
      <c r="L18" s="48"/>
    </row>
    <row r="19" spans="2:12" ht="15.75" thickBot="1" x14ac:dyDescent="0.3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2:12" x14ac:dyDescent="0.25">
      <c r="B20" s="28" t="s">
        <v>69</v>
      </c>
      <c r="C20" s="29" t="s">
        <v>70</v>
      </c>
      <c r="D20" s="29" t="s">
        <v>71</v>
      </c>
      <c r="E20" s="29" t="s">
        <v>72</v>
      </c>
      <c r="F20" s="29" t="s">
        <v>73</v>
      </c>
      <c r="G20" s="29" t="s">
        <v>74</v>
      </c>
      <c r="H20" s="29" t="s">
        <v>75</v>
      </c>
      <c r="I20" s="29" t="s">
        <v>76</v>
      </c>
      <c r="J20" s="29"/>
      <c r="K20" s="29" t="s">
        <v>77</v>
      </c>
      <c r="L20" s="30" t="s">
        <v>78</v>
      </c>
    </row>
    <row r="21" spans="2:12" ht="15.75" thickBot="1" x14ac:dyDescent="0.3">
      <c r="B21" s="75"/>
      <c r="C21" s="76"/>
      <c r="D21" s="76"/>
      <c r="E21" s="76"/>
      <c r="F21" s="76"/>
      <c r="G21" s="76"/>
      <c r="H21" s="76"/>
      <c r="I21" s="77" t="s">
        <v>79</v>
      </c>
      <c r="J21" s="77" t="s">
        <v>80</v>
      </c>
      <c r="K21" s="76"/>
      <c r="L21" s="78"/>
    </row>
    <row r="22" spans="2:12" x14ac:dyDescent="0.25">
      <c r="B22" s="79">
        <v>1</v>
      </c>
      <c r="C22" s="72">
        <v>67</v>
      </c>
      <c r="D22" s="72">
        <v>17</v>
      </c>
      <c r="E22" s="72">
        <v>38</v>
      </c>
      <c r="F22" s="72">
        <f>+(C22+D22/60+E22/3600)*PI()/180</f>
        <v>1.1744999275823398</v>
      </c>
      <c r="G22" s="72">
        <v>565.38099999999997</v>
      </c>
      <c r="H22" s="72">
        <f>((67+17/60+38/3600)+(75+36/60+46/3600))*PI()/180</f>
        <v>2.4941918563833627</v>
      </c>
      <c r="I22" s="72">
        <f>+G22*SIN(H22)</f>
        <v>340.98986389911028</v>
      </c>
      <c r="J22" s="72">
        <f>+G22*COS(H22)</f>
        <v>-450.97847828811763</v>
      </c>
      <c r="K22" s="81">
        <v>5000</v>
      </c>
      <c r="L22" s="82">
        <v>10000</v>
      </c>
    </row>
    <row r="23" spans="2:12" x14ac:dyDescent="0.25">
      <c r="B23" s="32">
        <v>2</v>
      </c>
      <c r="C23" s="33">
        <v>237</v>
      </c>
      <c r="D23" s="33">
        <v>59</v>
      </c>
      <c r="E23" s="33">
        <v>45</v>
      </c>
      <c r="F23" s="33">
        <f>+(C23+D23/60+E23/3600)*PI()/180</f>
        <v>4.1538108976943375</v>
      </c>
      <c r="G23" s="33">
        <v>650.35199999999998</v>
      </c>
      <c r="H23" s="33">
        <f>IF((H22)+(F23)&lt;PI(), (((H22)+PI()+(F23))), ((F23)-PI()+(H22)))</f>
        <v>3.5064101004879071</v>
      </c>
      <c r="I23" s="33">
        <f t="shared" ref="I23:I29" si="8">+G23*SIN(H23)</f>
        <v>-232.0317809949471</v>
      </c>
      <c r="J23" s="33">
        <f t="shared" ref="J23:J29" si="9">+G23*COS(H23)</f>
        <v>-607.55162456561072</v>
      </c>
      <c r="K23" s="83">
        <f t="shared" ref="K23:K29" si="10">+K22+I22</f>
        <v>5340.9898638991099</v>
      </c>
      <c r="L23" s="84">
        <f t="shared" ref="L23:L29" si="11">+L22+J22</f>
        <v>9549.0215217118821</v>
      </c>
    </row>
    <row r="24" spans="2:12" x14ac:dyDescent="0.25">
      <c r="B24" s="32">
        <v>3</v>
      </c>
      <c r="C24" s="33">
        <v>101</v>
      </c>
      <c r="D24" s="33">
        <v>13</v>
      </c>
      <c r="E24" s="33">
        <v>23</v>
      </c>
      <c r="F24" s="33">
        <f>+(C24+D24/60+E24/3600)*PI()/180</f>
        <v>1.7666755983735825</v>
      </c>
      <c r="G24" s="33">
        <v>661.20500000000004</v>
      </c>
      <c r="H24" s="33">
        <f>IF((H23)+(F24)&lt;PI(), (((H23)+PI()+(F24))), ((F24)-PI()+(H23)))</f>
        <v>2.1314930452716965</v>
      </c>
      <c r="I24" s="33">
        <f t="shared" si="8"/>
        <v>559.96447619729486</v>
      </c>
      <c r="J24" s="33">
        <f t="shared" si="9"/>
        <v>-351.61319290107588</v>
      </c>
      <c r="K24" s="83">
        <f t="shared" si="10"/>
        <v>5108.9580829041624</v>
      </c>
      <c r="L24" s="84">
        <f t="shared" si="11"/>
        <v>8941.4698971462713</v>
      </c>
    </row>
    <row r="25" spans="2:12" x14ac:dyDescent="0.25">
      <c r="B25" s="32">
        <v>4</v>
      </c>
      <c r="C25" s="33">
        <v>136</v>
      </c>
      <c r="D25" s="33">
        <v>40</v>
      </c>
      <c r="E25" s="33">
        <v>14</v>
      </c>
      <c r="F25" s="33">
        <f>+(C25+D25/60+E25/3600)*PI()/180</f>
        <v>2.3853511849742723</v>
      </c>
      <c r="G25" s="33">
        <v>905.31100000000004</v>
      </c>
      <c r="H25" s="33">
        <f>IF((H24)+(F25)&lt;PI(), (((H24)+PI()+(F25))), ((F25)-PI()+(H24)))</f>
        <v>1.3752515766561757</v>
      </c>
      <c r="I25" s="33">
        <f t="shared" si="8"/>
        <v>888.0575554801278</v>
      </c>
      <c r="J25" s="33">
        <f t="shared" si="9"/>
        <v>175.90277108579016</v>
      </c>
      <c r="K25" s="83">
        <f t="shared" si="10"/>
        <v>5668.9225591014574</v>
      </c>
      <c r="L25" s="84">
        <f t="shared" si="11"/>
        <v>8589.8567042451959</v>
      </c>
    </row>
    <row r="26" spans="2:12" x14ac:dyDescent="0.25">
      <c r="B26" s="32">
        <v>5</v>
      </c>
      <c r="C26" s="33">
        <v>130</v>
      </c>
      <c r="D26" s="33">
        <v>2</v>
      </c>
      <c r="E26" s="33">
        <v>4</v>
      </c>
      <c r="F26" s="33">
        <f>+(C26+D26/60+E26/3600)*PI()/180</f>
        <v>2.2695291965572038</v>
      </c>
      <c r="G26" s="33">
        <v>729.93600000000004</v>
      </c>
      <c r="H26" s="33">
        <f>IF((H25)+(F26)&lt;PI(), (((H25)+PI()+(F26))), ((F26)-PI()+(H25)))</f>
        <v>0.50318811962358634</v>
      </c>
      <c r="I26" s="33">
        <f t="shared" si="8"/>
        <v>351.99042083891607</v>
      </c>
      <c r="J26" s="33">
        <f t="shared" si="9"/>
        <v>639.46016899697736</v>
      </c>
      <c r="K26" s="83">
        <f t="shared" si="10"/>
        <v>6556.9801145815854</v>
      </c>
      <c r="L26" s="84">
        <f t="shared" si="11"/>
        <v>8765.7594753309859</v>
      </c>
    </row>
    <row r="27" spans="2:12" x14ac:dyDescent="0.25">
      <c r="B27" s="32">
        <v>6</v>
      </c>
      <c r="C27" s="33">
        <v>126</v>
      </c>
      <c r="D27" s="33">
        <v>38</v>
      </c>
      <c r="E27" s="33">
        <v>14</v>
      </c>
      <c r="F27" s="33">
        <f>+(C27+D27/60+E27/3600)*PI()/180</f>
        <v>2.2102364833575079</v>
      </c>
      <c r="G27" s="33">
        <v>597.41499999999996</v>
      </c>
      <c r="H27" s="33">
        <f t="shared" ref="H27:H37" si="12">IF((H26)+(F27)&lt;PI(), (((H26)+PI()+(F27))), ((F27)-PI()+(H26)))</f>
        <v>5.8550172565708873</v>
      </c>
      <c r="I27" s="33">
        <f t="shared" si="8"/>
        <v>-248.04965002496874</v>
      </c>
      <c r="J27" s="33">
        <f t="shared" si="9"/>
        <v>543.48509947144862</v>
      </c>
      <c r="K27" s="83">
        <f t="shared" si="10"/>
        <v>6908.9705354205016</v>
      </c>
      <c r="L27" s="84">
        <f t="shared" si="11"/>
        <v>9405.2196443279627</v>
      </c>
    </row>
    <row r="28" spans="2:12" x14ac:dyDescent="0.25">
      <c r="B28" s="32">
        <v>7</v>
      </c>
      <c r="C28" s="33">
        <v>131</v>
      </c>
      <c r="D28" s="33">
        <v>1</v>
      </c>
      <c r="E28" s="33">
        <v>4</v>
      </c>
      <c r="F28" s="33">
        <f>+(C28+D28/60+E28/3600)*PI()/180</f>
        <v>2.2866916008684819</v>
      </c>
      <c r="G28" s="33">
        <v>901.15800000000002</v>
      </c>
      <c r="H28" s="33">
        <f t="shared" si="12"/>
        <v>5.0001162038495757</v>
      </c>
      <c r="I28" s="33">
        <f t="shared" si="8"/>
        <v>-864.11257112767851</v>
      </c>
      <c r="J28" s="33">
        <f t="shared" si="9"/>
        <v>255.72486266124503</v>
      </c>
      <c r="K28" s="83">
        <f t="shared" si="10"/>
        <v>6660.9208853955333</v>
      </c>
      <c r="L28" s="84">
        <f t="shared" si="11"/>
        <v>9948.7047437994115</v>
      </c>
    </row>
    <row r="29" spans="2:12" ht="15.75" thickBot="1" x14ac:dyDescent="0.3">
      <c r="B29" s="34">
        <v>8</v>
      </c>
      <c r="C29" s="35">
        <v>149</v>
      </c>
      <c r="D29" s="35">
        <v>7</v>
      </c>
      <c r="E29" s="35">
        <v>22</v>
      </c>
      <c r="F29" s="35">
        <f>+(C29+D29/60+E29/3600)*PI()/180</f>
        <v>2.6026834619420556</v>
      </c>
      <c r="G29" s="35">
        <v>822.82600000000002</v>
      </c>
      <c r="H29" s="35">
        <f t="shared" si="12"/>
        <v>4.4612070122018377</v>
      </c>
      <c r="I29" s="35">
        <f t="shared" si="8"/>
        <v>-797.00516171876257</v>
      </c>
      <c r="J29" s="35">
        <f t="shared" si="9"/>
        <v>-204.51258755795226</v>
      </c>
      <c r="K29" s="85">
        <f t="shared" si="10"/>
        <v>5796.8083142678552</v>
      </c>
      <c r="L29" s="86">
        <f t="shared" si="11"/>
        <v>10204.429606460657</v>
      </c>
    </row>
    <row r="30" spans="2:12" ht="15.75" thickBot="1" x14ac:dyDescent="0.3">
      <c r="B30" s="49" t="s">
        <v>84</v>
      </c>
      <c r="C30" s="53">
        <v>67</v>
      </c>
      <c r="D30" s="53">
        <v>17</v>
      </c>
      <c r="E30" s="53">
        <v>38</v>
      </c>
      <c r="F30" s="50">
        <f t="shared" ref="F30:F37" si="13">+(C30+D30/60+E30/3600)*PI()/180</f>
        <v>1.1744999275823398</v>
      </c>
      <c r="G30" s="51">
        <v>565.38099999999997</v>
      </c>
      <c r="H30" s="53">
        <f t="shared" si="12"/>
        <v>2.4941142861943844</v>
      </c>
      <c r="I30" s="53">
        <f t="shared" ref="I30:I34" si="14">+G30*SIN(H30)</f>
        <v>341.02484535897025</v>
      </c>
      <c r="J30" s="53">
        <f t="shared" ref="J30:J34" si="15">+G30*COS(H30)</f>
        <v>-450.95202628316281</v>
      </c>
      <c r="K30" s="80">
        <f t="shared" ref="K30:K37" si="16">+K29+I29</f>
        <v>4999.8031525490924</v>
      </c>
      <c r="L30" s="104">
        <f t="shared" ref="L30:L37" si="17">+L29+J29</f>
        <v>9999.9170189027045</v>
      </c>
    </row>
    <row r="31" spans="2:12" ht="15.75" thickBot="1" x14ac:dyDescent="0.3">
      <c r="B31" s="52" t="s">
        <v>85</v>
      </c>
      <c r="C31" s="53">
        <v>237</v>
      </c>
      <c r="D31" s="53">
        <v>59</v>
      </c>
      <c r="E31" s="53">
        <v>45</v>
      </c>
      <c r="F31" s="53">
        <f t="shared" si="13"/>
        <v>4.1538108976943375</v>
      </c>
      <c r="G31" s="51">
        <v>650.35199999999998</v>
      </c>
      <c r="H31" s="53">
        <f t="shared" si="12"/>
        <v>3.5063325302989288</v>
      </c>
      <c r="I31" s="53">
        <f t="shared" si="14"/>
        <v>-231.98465240257951</v>
      </c>
      <c r="J31" s="53">
        <f t="shared" si="15"/>
        <v>-607.56962148683363</v>
      </c>
      <c r="K31" s="80">
        <f t="shared" si="16"/>
        <v>5340.8279979080626</v>
      </c>
      <c r="L31" s="104">
        <f t="shared" si="17"/>
        <v>9548.9649926195416</v>
      </c>
    </row>
    <row r="32" spans="2:12" ht="15.75" thickBot="1" x14ac:dyDescent="0.3">
      <c r="B32" s="52" t="s">
        <v>86</v>
      </c>
      <c r="C32" s="53">
        <v>101</v>
      </c>
      <c r="D32" s="53">
        <v>13</v>
      </c>
      <c r="E32" s="53">
        <v>23</v>
      </c>
      <c r="F32" s="53">
        <f t="shared" si="13"/>
        <v>1.7666755983735825</v>
      </c>
      <c r="G32" s="51">
        <v>661.20500000000004</v>
      </c>
      <c r="H32" s="53">
        <f t="shared" si="12"/>
        <v>2.1314154750827181</v>
      </c>
      <c r="I32" s="53">
        <f t="shared" si="14"/>
        <v>559.99174921439749</v>
      </c>
      <c r="J32" s="53">
        <f t="shared" si="15"/>
        <v>-351.56975529302781</v>
      </c>
      <c r="K32" s="80">
        <f t="shared" si="16"/>
        <v>5108.8433455054828</v>
      </c>
      <c r="L32" s="104">
        <f t="shared" si="17"/>
        <v>8941.3953711327085</v>
      </c>
    </row>
    <row r="33" spans="2:12" ht="15.75" thickBot="1" x14ac:dyDescent="0.3">
      <c r="B33" s="52" t="s">
        <v>87</v>
      </c>
      <c r="C33" s="53">
        <v>136</v>
      </c>
      <c r="D33" s="53">
        <v>40</v>
      </c>
      <c r="E33" s="53">
        <v>14</v>
      </c>
      <c r="F33" s="53">
        <f t="shared" si="13"/>
        <v>2.3853511849742723</v>
      </c>
      <c r="G33" s="51">
        <v>905.31100000000004</v>
      </c>
      <c r="H33" s="53">
        <f t="shared" si="12"/>
        <v>1.3751740064671973</v>
      </c>
      <c r="I33" s="53">
        <f t="shared" si="14"/>
        <v>888.04390799716577</v>
      </c>
      <c r="J33" s="53">
        <f t="shared" si="15"/>
        <v>175.97165734890802</v>
      </c>
      <c r="K33" s="80">
        <f t="shared" si="16"/>
        <v>5668.8350947198805</v>
      </c>
      <c r="L33" s="104">
        <f t="shared" si="17"/>
        <v>8589.8256158396798</v>
      </c>
    </row>
    <row r="34" spans="2:12" ht="15.75" thickBot="1" x14ac:dyDescent="0.3">
      <c r="B34" s="52" t="s">
        <v>88</v>
      </c>
      <c r="C34" s="53">
        <v>130</v>
      </c>
      <c r="D34" s="53">
        <v>2</v>
      </c>
      <c r="E34" s="53">
        <v>4</v>
      </c>
      <c r="F34" s="53">
        <f t="shared" si="13"/>
        <v>2.2695291965572038</v>
      </c>
      <c r="G34" s="51">
        <v>729.93600000000004</v>
      </c>
      <c r="H34" s="53">
        <f t="shared" si="12"/>
        <v>0.50311054943460798</v>
      </c>
      <c r="I34" s="53">
        <f t="shared" si="14"/>
        <v>351.94081673382578</v>
      </c>
      <c r="J34" s="53">
        <f t="shared" si="15"/>
        <v>639.4874710365541</v>
      </c>
      <c r="K34" s="80">
        <f t="shared" si="16"/>
        <v>6556.8790027170462</v>
      </c>
      <c r="L34" s="104">
        <f t="shared" si="17"/>
        <v>8765.7972731885875</v>
      </c>
    </row>
    <row r="35" spans="2:12" ht="15.75" thickBot="1" x14ac:dyDescent="0.3">
      <c r="B35" s="52" t="s">
        <v>125</v>
      </c>
      <c r="C35" s="53">
        <v>126</v>
      </c>
      <c r="D35" s="53">
        <v>38</v>
      </c>
      <c r="E35" s="53">
        <v>14</v>
      </c>
      <c r="F35" s="53">
        <f t="shared" si="13"/>
        <v>2.2102364833575079</v>
      </c>
      <c r="G35" s="51">
        <v>597.41499999999996</v>
      </c>
      <c r="H35" s="53">
        <f t="shared" si="12"/>
        <v>5.8549396863819094</v>
      </c>
      <c r="I35" s="53">
        <f t="shared" ref="I35:I37" si="18">+G35*SIN(H35)</f>
        <v>-248.09180752052515</v>
      </c>
      <c r="J35" s="53">
        <f t="shared" ref="J35:J37" si="19">+G35*COS(H35)</f>
        <v>543.46585657812818</v>
      </c>
      <c r="K35" s="80">
        <f t="shared" si="16"/>
        <v>6908.8198194508723</v>
      </c>
      <c r="L35" s="104">
        <f t="shared" si="17"/>
        <v>9405.2847442251423</v>
      </c>
    </row>
    <row r="36" spans="2:12" ht="15.75" thickBot="1" x14ac:dyDescent="0.3">
      <c r="B36" s="52" t="s">
        <v>126</v>
      </c>
      <c r="C36" s="53">
        <v>131</v>
      </c>
      <c r="D36" s="53">
        <v>1</v>
      </c>
      <c r="E36" s="53">
        <v>4</v>
      </c>
      <c r="F36" s="53">
        <f t="shared" si="13"/>
        <v>2.2866916008684819</v>
      </c>
      <c r="G36" s="51">
        <v>901.15800000000002</v>
      </c>
      <c r="H36" s="53">
        <f t="shared" si="12"/>
        <v>5.0000386336605978</v>
      </c>
      <c r="I36" s="53">
        <f t="shared" si="18"/>
        <v>-864.13240515384109</v>
      </c>
      <c r="J36" s="53">
        <f t="shared" si="19"/>
        <v>255.65783251650626</v>
      </c>
      <c r="K36" s="80">
        <f t="shared" si="16"/>
        <v>6660.7280119303468</v>
      </c>
      <c r="L36" s="104">
        <f t="shared" si="17"/>
        <v>9948.7506008032706</v>
      </c>
    </row>
    <row r="37" spans="2:12" ht="15.75" thickBot="1" x14ac:dyDescent="0.3">
      <c r="B37" s="54" t="s">
        <v>127</v>
      </c>
      <c r="C37" s="53">
        <v>149</v>
      </c>
      <c r="D37" s="53">
        <v>7</v>
      </c>
      <c r="E37" s="53">
        <v>22</v>
      </c>
      <c r="F37" s="53">
        <f t="shared" si="13"/>
        <v>2.6026834619420556</v>
      </c>
      <c r="G37" s="51">
        <v>822.82600000000002</v>
      </c>
      <c r="H37" s="53">
        <f t="shared" si="12"/>
        <v>4.4611294420128598</v>
      </c>
      <c r="I37" s="53">
        <f t="shared" si="18"/>
        <v>-796.98929524086986</v>
      </c>
      <c r="J37" s="53">
        <f t="shared" si="19"/>
        <v>-204.57441078361131</v>
      </c>
      <c r="K37" s="80">
        <f t="shared" si="16"/>
        <v>5796.5956067765055</v>
      </c>
      <c r="L37" s="104">
        <f t="shared" si="17"/>
        <v>10204.408433319777</v>
      </c>
    </row>
    <row r="38" spans="2:12" x14ac:dyDescent="0.25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39" spans="2:12" ht="15.75" thickBot="1" x14ac:dyDescent="0.3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8"/>
    </row>
    <row r="40" spans="2:12" ht="15.75" thickBot="1" x14ac:dyDescent="0.3">
      <c r="B40" s="28"/>
      <c r="C40" s="29" t="s">
        <v>89</v>
      </c>
      <c r="D40" s="29"/>
      <c r="E40" s="29"/>
      <c r="F40" s="30" t="s">
        <v>90</v>
      </c>
      <c r="G40" s="37"/>
      <c r="H40" s="55" t="s">
        <v>91</v>
      </c>
      <c r="I40" s="56">
        <f>1/5000</f>
        <v>2.0000000000000001E-4</v>
      </c>
      <c r="J40" s="37"/>
      <c r="K40" s="57" t="s">
        <v>92</v>
      </c>
      <c r="L40" s="58" t="s">
        <v>93</v>
      </c>
    </row>
    <row r="41" spans="2:12" ht="15.75" thickBot="1" x14ac:dyDescent="0.3">
      <c r="B41" s="59"/>
      <c r="C41" s="31" t="s">
        <v>94</v>
      </c>
      <c r="D41" s="31" t="s">
        <v>95</v>
      </c>
      <c r="E41" s="31" t="s">
        <v>96</v>
      </c>
      <c r="F41" s="60"/>
      <c r="G41" s="37"/>
      <c r="H41" s="100" t="s">
        <v>97</v>
      </c>
      <c r="I41" s="101"/>
      <c r="J41" s="37"/>
      <c r="K41" s="61">
        <f>+-C45/G15</f>
        <v>1.4993249703402653E-5</v>
      </c>
      <c r="L41" s="62">
        <f>+-D45/G15</f>
        <v>5.3292119416549832E-6</v>
      </c>
    </row>
    <row r="42" spans="2:12" x14ac:dyDescent="0.25">
      <c r="B42" s="79" t="s">
        <v>98</v>
      </c>
      <c r="C42" s="72">
        <f>+SUM(I22:I29)</f>
        <v>-0.19684745090773959</v>
      </c>
      <c r="D42" s="72">
        <f>+SUM(J22:J29)</f>
        <v>-8.2981097295146355E-2</v>
      </c>
      <c r="E42" s="72">
        <f>+SQRT(C42^2+D42^2)</f>
        <v>0.21362298901846097</v>
      </c>
      <c r="F42" s="103">
        <f>+E42/$G$15</f>
        <v>3.66195102390676E-5</v>
      </c>
      <c r="G42" s="37"/>
      <c r="H42" s="79">
        <f>+F42-$I$40</f>
        <v>-1.6338048976093241E-4</v>
      </c>
      <c r="I42" s="103" t="s">
        <v>99</v>
      </c>
      <c r="J42" s="37"/>
      <c r="K42" s="37"/>
      <c r="L42" s="38"/>
    </row>
    <row r="43" spans="2:12" x14ac:dyDescent="0.25">
      <c r="B43" s="32" t="s">
        <v>100</v>
      </c>
      <c r="C43" s="33">
        <f>+SUM(I23:I30)</f>
        <v>-0.16186599104781862</v>
      </c>
      <c r="D43" s="33">
        <f>+SUM(J23:J30)</f>
        <v>-5.6529092340440457E-2</v>
      </c>
      <c r="E43" s="33">
        <f>+SQRT(C43^2+D43^2)</f>
        <v>0.17145301787582085</v>
      </c>
      <c r="F43" s="63">
        <f>+E43/$G$15</f>
        <v>2.9390682961935718E-5</v>
      </c>
      <c r="G43" s="37"/>
      <c r="H43" s="32">
        <f>+F43-$I$40</f>
        <v>-1.7060931703806429E-4</v>
      </c>
      <c r="I43" s="63" t="s">
        <v>99</v>
      </c>
      <c r="J43" s="37"/>
      <c r="K43" s="37"/>
      <c r="L43" s="38"/>
    </row>
    <row r="44" spans="2:12" x14ac:dyDescent="0.25">
      <c r="B44" s="32" t="s">
        <v>101</v>
      </c>
      <c r="C44" s="33">
        <f>+SUM(I24:I31)</f>
        <v>-0.11473739868034727</v>
      </c>
      <c r="D44" s="33">
        <f>+SUM(J24:J31)</f>
        <v>-7.4526013563399829E-2</v>
      </c>
      <c r="E44" s="33">
        <f>+SQRT(C44^2+D44^2)</f>
        <v>0.13681665598012915</v>
      </c>
      <c r="F44" s="63">
        <f>+E44/$G$15</f>
        <v>2.3453276061530807E-5</v>
      </c>
      <c r="G44" s="37"/>
      <c r="H44" s="32">
        <f>+F44-$I$40</f>
        <v>-1.765467239384692E-4</v>
      </c>
      <c r="I44" s="63" t="s">
        <v>99</v>
      </c>
      <c r="J44" s="37"/>
      <c r="K44" s="37"/>
      <c r="L44" s="38"/>
    </row>
    <row r="45" spans="2:12" x14ac:dyDescent="0.25">
      <c r="B45" s="32" t="s">
        <v>102</v>
      </c>
      <c r="C45" s="33">
        <f>+SUM(I25:I32)</f>
        <v>-8.7464381577774475E-2</v>
      </c>
      <c r="D45" s="33">
        <f>+SUM(J25:J32)</f>
        <v>-3.1088405515447448E-2</v>
      </c>
      <c r="E45" s="33">
        <f>+SQRT(C45^2+D45^2)</f>
        <v>9.2825142080556172E-2</v>
      </c>
      <c r="F45" s="63">
        <f>+E45/$G$15</f>
        <v>1.5912197729655758E-5</v>
      </c>
      <c r="G45" s="37"/>
      <c r="H45" s="32">
        <f>+F45-$I$40</f>
        <v>-1.8408780227034425E-4</v>
      </c>
      <c r="I45" s="63" t="s">
        <v>99</v>
      </c>
      <c r="J45" s="37"/>
      <c r="K45" s="37"/>
      <c r="L45" s="38"/>
    </row>
    <row r="46" spans="2:12" x14ac:dyDescent="0.25">
      <c r="B46" s="32" t="s">
        <v>103</v>
      </c>
      <c r="C46" s="33">
        <f>+SUM(I26:I33)</f>
        <v>-0.10111186453980281</v>
      </c>
      <c r="D46" s="33">
        <f>+SUM(J26:J33)</f>
        <v>3.7797857602640761E-2</v>
      </c>
      <c r="E46" s="33">
        <f>+SQRT(C46^2+D46^2)</f>
        <v>0.10794576040801668</v>
      </c>
      <c r="F46" s="63">
        <f>+E46/$G$15</f>
        <v>1.8504192346937434E-5</v>
      </c>
      <c r="G46" s="37"/>
      <c r="H46" s="32">
        <f>+F46-$I$40</f>
        <v>-1.8149580765306259E-4</v>
      </c>
      <c r="I46" s="63" t="s">
        <v>99</v>
      </c>
      <c r="J46" s="37"/>
      <c r="K46" s="37"/>
      <c r="L46" s="38"/>
    </row>
    <row r="47" spans="2:12" x14ac:dyDescent="0.25">
      <c r="B47" s="102" t="s">
        <v>128</v>
      </c>
      <c r="C47" s="33">
        <f>+SUM(I27:I34)</f>
        <v>-0.15071596963019829</v>
      </c>
      <c r="D47" s="33">
        <f>+SUM(J27:J34)</f>
        <v>6.5099897179266009E-2</v>
      </c>
      <c r="E47" s="33">
        <f>+SQRT(C47^2+D47^2)</f>
        <v>0.16417460252524402</v>
      </c>
      <c r="F47" s="63">
        <f>+E47/$G$15</f>
        <v>2.8143008230488151E-5</v>
      </c>
      <c r="G47" s="37"/>
      <c r="H47" s="32">
        <f>+F47-$I$40</f>
        <v>-1.7185699176951186E-4</v>
      </c>
      <c r="I47" s="63" t="s">
        <v>99</v>
      </c>
      <c r="J47" s="37"/>
      <c r="K47" s="37"/>
      <c r="L47" s="38"/>
    </row>
    <row r="48" spans="2:12" x14ac:dyDescent="0.25">
      <c r="B48" s="32" t="s">
        <v>129</v>
      </c>
      <c r="C48" s="33">
        <f>+SUM(I28:I35)</f>
        <v>-0.1928734651863806</v>
      </c>
      <c r="D48" s="33">
        <f>+SUM(J28:J35)</f>
        <v>4.5857003858714052E-2</v>
      </c>
      <c r="E48" s="33">
        <f>+SQRT(C48^2+D48^2)</f>
        <v>0.19824993915736794</v>
      </c>
      <c r="F48" s="63">
        <f>+E48/$G$15</f>
        <v>3.3984243504056496E-5</v>
      </c>
      <c r="G48" s="37"/>
      <c r="H48" s="32">
        <f>+F48-$I$40</f>
        <v>-1.6601575649594351E-4</v>
      </c>
      <c r="I48" s="63" t="s">
        <v>99</v>
      </c>
      <c r="J48" s="37"/>
      <c r="K48" s="37"/>
      <c r="L48" s="38"/>
    </row>
    <row r="49" spans="2:12" ht="15.75" thickBot="1" x14ac:dyDescent="0.3">
      <c r="B49" s="34" t="s">
        <v>130</v>
      </c>
      <c r="C49" s="35">
        <f>+SUM(I29:I36)</f>
        <v>-0.21270749134919242</v>
      </c>
      <c r="D49" s="35">
        <f>+SUM(J29:J36)</f>
        <v>-2.1173140879994889E-2</v>
      </c>
      <c r="E49" s="35">
        <f>+SQRT(C49^2+D49^2)</f>
        <v>0.21375869285432786</v>
      </c>
      <c r="F49" s="64">
        <f>+E49/$G$15</f>
        <v>3.6642772754164137E-5</v>
      </c>
      <c r="G49" s="43"/>
      <c r="H49" s="34">
        <f>+F49-$I$40</f>
        <v>-1.6335722724583588E-4</v>
      </c>
      <c r="I49" s="64" t="s">
        <v>99</v>
      </c>
      <c r="J49" s="43"/>
      <c r="K49" s="43"/>
      <c r="L49" s="44"/>
    </row>
    <row r="50" spans="2:12" ht="15.75" thickBot="1" x14ac:dyDescent="0.3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spans="2:12" ht="15.75" thickBot="1" x14ac:dyDescent="0.3">
      <c r="B51" s="46" t="s">
        <v>104</v>
      </c>
      <c r="C51" s="47"/>
      <c r="D51" s="47"/>
      <c r="E51" s="47"/>
      <c r="F51" s="47"/>
      <c r="G51" s="47"/>
      <c r="H51" s="47"/>
      <c r="I51" s="47"/>
      <c r="J51" s="47"/>
      <c r="K51" s="47"/>
      <c r="L51" s="48"/>
    </row>
    <row r="52" spans="2:12" ht="15.75" thickBot="1" x14ac:dyDescent="0.3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8"/>
    </row>
    <row r="53" spans="2:12" ht="15.75" thickBot="1" x14ac:dyDescent="0.3">
      <c r="B53" s="65"/>
      <c r="C53" s="91" t="s">
        <v>105</v>
      </c>
      <c r="D53" s="92"/>
      <c r="E53" s="91" t="s">
        <v>106</v>
      </c>
      <c r="F53" s="92"/>
      <c r="G53" s="65" t="s">
        <v>77</v>
      </c>
      <c r="H53" s="65" t="s">
        <v>78</v>
      </c>
      <c r="I53" s="37"/>
      <c r="J53" s="37"/>
      <c r="K53" s="37"/>
      <c r="L53" s="38"/>
    </row>
    <row r="54" spans="2:12" ht="15.75" thickBot="1" x14ac:dyDescent="0.3">
      <c r="B54" s="65" t="s">
        <v>107</v>
      </c>
      <c r="C54" s="65" t="s">
        <v>108</v>
      </c>
      <c r="D54" s="65" t="s">
        <v>109</v>
      </c>
      <c r="E54" s="65" t="s">
        <v>108</v>
      </c>
      <c r="F54" s="65" t="s">
        <v>109</v>
      </c>
      <c r="G54" s="93"/>
      <c r="H54" s="93"/>
      <c r="I54" s="37"/>
      <c r="J54" s="37"/>
      <c r="K54" s="37"/>
      <c r="L54" s="38"/>
    </row>
    <row r="55" spans="2:12" x14ac:dyDescent="0.25">
      <c r="B55" s="3">
        <v>1</v>
      </c>
      <c r="C55" s="72">
        <f>+I30</f>
        <v>341.02484535897025</v>
      </c>
      <c r="D55" s="72">
        <f>+J30</f>
        <v>-450.95202628316281</v>
      </c>
      <c r="E55" s="4">
        <f>+G22*$K$41+C55</f>
        <v>341.03332225748079</v>
      </c>
      <c r="F55" s="4">
        <f>+G22*$L$41+D55</f>
        <v>-450.94901324798604</v>
      </c>
      <c r="G55" s="87">
        <v>5000</v>
      </c>
      <c r="H55" s="88">
        <v>10000</v>
      </c>
      <c r="I55" s="37"/>
      <c r="J55" s="37"/>
      <c r="K55" s="37"/>
      <c r="L55" s="38"/>
    </row>
    <row r="56" spans="2:12" x14ac:dyDescent="0.25">
      <c r="B56" s="5">
        <v>2</v>
      </c>
      <c r="C56" s="33">
        <f>+I31</f>
        <v>-231.98465240257951</v>
      </c>
      <c r="D56" s="33">
        <f>+J31</f>
        <v>-607.56962148683363</v>
      </c>
      <c r="E56" s="2">
        <f>+G23*$K$41+C56</f>
        <v>-231.97490151264842</v>
      </c>
      <c r="F56" s="2">
        <f>+G23*$L$41+D56</f>
        <v>-607.56615562318893</v>
      </c>
      <c r="G56" s="89">
        <f>+G55+E55</f>
        <v>5341.0333222574809</v>
      </c>
      <c r="H56" s="90">
        <f>+H55+F55</f>
        <v>9549.0509867520141</v>
      </c>
      <c r="I56" s="37"/>
      <c r="J56" s="37"/>
      <c r="K56" s="37"/>
      <c r="L56" s="38"/>
    </row>
    <row r="57" spans="2:12" x14ac:dyDescent="0.25">
      <c r="B57" s="5">
        <v>3</v>
      </c>
      <c r="C57" s="33">
        <f>+I32</f>
        <v>559.99174921439749</v>
      </c>
      <c r="D57" s="33">
        <f>+J32</f>
        <v>-351.56975529302781</v>
      </c>
      <c r="E57" s="2">
        <f>+G24*$K$41+C57</f>
        <v>560.00166282606767</v>
      </c>
      <c r="F57" s="2">
        <f>+G24*$L$41+D57</f>
        <v>-351.56623159144596</v>
      </c>
      <c r="G57" s="89">
        <f>+G56+E56</f>
        <v>5109.0584207448328</v>
      </c>
      <c r="H57" s="90">
        <f>+H56+F56</f>
        <v>8941.484831128826</v>
      </c>
      <c r="I57" s="37"/>
      <c r="J57" s="37"/>
      <c r="K57" s="37"/>
      <c r="L57" s="38"/>
    </row>
    <row r="58" spans="2:12" x14ac:dyDescent="0.25">
      <c r="B58" s="5">
        <v>4</v>
      </c>
      <c r="C58" s="33">
        <f>+I25</f>
        <v>888.0575554801278</v>
      </c>
      <c r="D58" s="33">
        <f>+J25</f>
        <v>175.90277108579016</v>
      </c>
      <c r="E58" s="2">
        <f>+G25*$K$41+C58</f>
        <v>888.07112903401003</v>
      </c>
      <c r="F58" s="2">
        <f>+G25*$L$41+D58</f>
        <v>175.90759567998228</v>
      </c>
      <c r="G58" s="89">
        <f>+G57+E57</f>
        <v>5669.0600835709001</v>
      </c>
      <c r="H58" s="90">
        <f>+H57+F57</f>
        <v>8589.9185995373809</v>
      </c>
      <c r="I58" s="37"/>
      <c r="J58" s="37"/>
      <c r="K58" s="37"/>
      <c r="L58" s="38"/>
    </row>
    <row r="59" spans="2:12" x14ac:dyDescent="0.25">
      <c r="B59" s="32">
        <v>5</v>
      </c>
      <c r="C59" s="33">
        <f>+I26</f>
        <v>351.99042083891607</v>
      </c>
      <c r="D59" s="33">
        <f>+J26</f>
        <v>639.46016899697736</v>
      </c>
      <c r="E59" s="2">
        <f>+G26*$K$41+C59</f>
        <v>352.00136495163156</v>
      </c>
      <c r="F59" s="2">
        <f>+G26*$L$41+D59</f>
        <v>639.46405898062517</v>
      </c>
      <c r="G59" s="89">
        <f>+G58+E58</f>
        <v>6557.1312126049106</v>
      </c>
      <c r="H59" s="90">
        <f>+H58+F58</f>
        <v>8765.8261952173634</v>
      </c>
      <c r="I59" s="37"/>
      <c r="J59" s="37"/>
      <c r="K59" s="37"/>
      <c r="L59" s="38"/>
    </row>
    <row r="60" spans="2:12" x14ac:dyDescent="0.25">
      <c r="B60" s="32">
        <v>6</v>
      </c>
      <c r="C60" s="33">
        <f>+I27</f>
        <v>-248.04965002496874</v>
      </c>
      <c r="D60" s="33">
        <f>+J27</f>
        <v>543.48509947144862</v>
      </c>
      <c r="E60" s="2">
        <f>+G27*$K$41+C60</f>
        <v>-248.04069283269718</v>
      </c>
      <c r="F60" s="2">
        <f>+G27*$L$41+D60</f>
        <v>543.48828322260078</v>
      </c>
      <c r="G60" s="89">
        <f>+G59+E59</f>
        <v>6909.1325775565419</v>
      </c>
      <c r="H60" s="90">
        <f>+H59+F59</f>
        <v>9405.2902541979893</v>
      </c>
      <c r="I60" s="37"/>
      <c r="J60" s="37"/>
      <c r="K60" s="37"/>
      <c r="L60" s="38"/>
    </row>
    <row r="61" spans="2:12" x14ac:dyDescent="0.25">
      <c r="B61" s="32">
        <v>7</v>
      </c>
      <c r="C61" s="33">
        <f>+I28</f>
        <v>-864.11257112767851</v>
      </c>
      <c r="D61" s="33">
        <f>+J28</f>
        <v>255.72486266124503</v>
      </c>
      <c r="E61" s="2">
        <f>+G28*$K$41+C61</f>
        <v>-864.09905984076227</v>
      </c>
      <c r="F61" s="2">
        <f>+G28*$L$41+D61</f>
        <v>255.72966512321995</v>
      </c>
      <c r="G61" s="89">
        <f>+G60+E60</f>
        <v>6661.0918847238445</v>
      </c>
      <c r="H61" s="90">
        <f>+H60+F60</f>
        <v>9948.7785374205905</v>
      </c>
      <c r="I61" s="37"/>
      <c r="J61" s="37"/>
      <c r="K61" s="37"/>
      <c r="L61" s="38"/>
    </row>
    <row r="62" spans="2:12" ht="15.75" thickBot="1" x14ac:dyDescent="0.3">
      <c r="B62" s="34">
        <v>8</v>
      </c>
      <c r="C62" s="35">
        <f>+I29</f>
        <v>-797.00516171876257</v>
      </c>
      <c r="D62" s="35">
        <f>+J29</f>
        <v>-204.51258755795226</v>
      </c>
      <c r="E62" s="7">
        <f>+G29*$K$41+C62</f>
        <v>-796.99282488308211</v>
      </c>
      <c r="F62" s="7">
        <f>+G29*$L$41+D62</f>
        <v>-204.50820254380716</v>
      </c>
      <c r="G62" s="94">
        <f>+G61+E61</f>
        <v>5796.992824883082</v>
      </c>
      <c r="H62" s="95">
        <f>+H61+F61</f>
        <v>10204.50820254381</v>
      </c>
      <c r="I62" s="37"/>
      <c r="J62" s="37"/>
      <c r="K62" s="37"/>
      <c r="L62" s="38"/>
    </row>
    <row r="63" spans="2:12" ht="15.75" thickBot="1" x14ac:dyDescent="0.3"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8"/>
    </row>
    <row r="64" spans="2:12" ht="15.75" thickBot="1" x14ac:dyDescent="0.3">
      <c r="B64" s="66"/>
      <c r="C64" s="43"/>
      <c r="D64" s="67" t="s">
        <v>110</v>
      </c>
      <c r="E64" s="68">
        <f>+SUM(E55:E62)</f>
        <v>0</v>
      </c>
      <c r="F64" s="69">
        <f>+SUM(F55:F62)</f>
        <v>0</v>
      </c>
      <c r="G64" s="43"/>
      <c r="H64" s="43"/>
      <c r="I64" s="43"/>
      <c r="J64" s="43"/>
      <c r="K64" s="43"/>
      <c r="L64" s="44"/>
    </row>
    <row r="65" spans="2:12" ht="15.75" thickBot="1" x14ac:dyDescent="0.3">
      <c r="B65" s="45"/>
      <c r="C65" s="45"/>
      <c r="D65" s="70"/>
      <c r="E65" s="37"/>
      <c r="F65" s="37"/>
      <c r="G65" s="45"/>
      <c r="H65" s="45"/>
      <c r="I65" s="45"/>
      <c r="J65" s="45"/>
      <c r="K65" s="45"/>
      <c r="L65" s="45"/>
    </row>
    <row r="66" spans="2:12" ht="15.75" thickBot="1" x14ac:dyDescent="0.3">
      <c r="B66" s="46" t="s">
        <v>111</v>
      </c>
      <c r="C66" s="47"/>
      <c r="D66" s="47"/>
      <c r="E66" s="47"/>
      <c r="F66" s="47"/>
      <c r="G66" s="47"/>
      <c r="H66" s="47"/>
      <c r="I66" s="47"/>
      <c r="J66" s="47"/>
      <c r="K66" s="47"/>
      <c r="L66" s="48"/>
    </row>
    <row r="67" spans="2:12" ht="15.75" thickBot="1" x14ac:dyDescent="0.3"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38"/>
    </row>
    <row r="68" spans="2:12" x14ac:dyDescent="0.25">
      <c r="B68" s="71" t="s">
        <v>112</v>
      </c>
      <c r="C68" s="72">
        <f>+ATAN((G56-G55)/(H56-H55))</f>
        <v>-0.64749354050680663</v>
      </c>
      <c r="D68" s="72">
        <f>+180+C68*180/PI()</f>
        <v>142.90135286697696</v>
      </c>
      <c r="E68" s="72">
        <f>+INT(D68)</f>
        <v>142</v>
      </c>
      <c r="F68" s="72">
        <f>+INT((D68-E68)*60)</f>
        <v>54</v>
      </c>
      <c r="G68" s="96">
        <f>+(((D68-E68)*60)-F68)*60</f>
        <v>4.8703211170709437</v>
      </c>
      <c r="H68" s="37"/>
      <c r="I68" s="37"/>
      <c r="J68" s="37"/>
      <c r="K68" s="37"/>
      <c r="L68" s="38"/>
    </row>
    <row r="69" spans="2:12" x14ac:dyDescent="0.25">
      <c r="B69" s="73" t="s">
        <v>113</v>
      </c>
      <c r="C69" s="33">
        <f>+ATAN((G57-G56)/(H57-H56))</f>
        <v>0.36472777060509909</v>
      </c>
      <c r="D69" s="33">
        <f>180+C69*180/PI()</f>
        <v>200.89736192688781</v>
      </c>
      <c r="E69" s="33">
        <f t="shared" ref="E69:E75" si="20">+INT(D69)</f>
        <v>200</v>
      </c>
      <c r="F69" s="33">
        <f t="shared" ref="F69:F75" si="21">+INT((D69-E69)*60)</f>
        <v>53</v>
      </c>
      <c r="G69" s="97">
        <f t="shared" ref="G69:G75" si="22">+(((D69-E69)*60)-F69)*60</f>
        <v>50.502936796119684</v>
      </c>
      <c r="H69" s="37"/>
      <c r="I69" s="37"/>
      <c r="J69" s="37"/>
      <c r="K69" s="37"/>
      <c r="L69" s="38"/>
    </row>
    <row r="70" spans="2:12" x14ac:dyDescent="0.25">
      <c r="B70" s="73" t="s">
        <v>114</v>
      </c>
      <c r="C70" s="33">
        <f>+ATAN((G58-G57)/(H58-H57))</f>
        <v>-1.0101896639032995</v>
      </c>
      <c r="D70" s="33">
        <f>180+C70*180/PI()</f>
        <v>122.12039575060182</v>
      </c>
      <c r="E70" s="33">
        <f t="shared" si="20"/>
        <v>122</v>
      </c>
      <c r="F70" s="33">
        <f t="shared" si="21"/>
        <v>7</v>
      </c>
      <c r="G70" s="97">
        <f t="shared" si="22"/>
        <v>13.424702166536235</v>
      </c>
      <c r="H70" s="37"/>
      <c r="I70" s="37"/>
      <c r="J70" s="37"/>
      <c r="K70" s="37"/>
      <c r="L70" s="38"/>
    </row>
    <row r="71" spans="2:12" x14ac:dyDescent="0.25">
      <c r="B71" s="73" t="s">
        <v>115</v>
      </c>
      <c r="C71" s="33">
        <f>+ATAN((G59-G58)/(H59-H58))</f>
        <v>1.3752492622473442</v>
      </c>
      <c r="D71" s="33">
        <f>C71*180/PI()</f>
        <v>78.795978505252961</v>
      </c>
      <c r="E71" s="33">
        <f t="shared" si="20"/>
        <v>78</v>
      </c>
      <c r="F71" s="33">
        <f t="shared" si="21"/>
        <v>47</v>
      </c>
      <c r="G71" s="97">
        <f t="shared" si="22"/>
        <v>45.522618910659958</v>
      </c>
      <c r="H71" s="37"/>
      <c r="I71" s="37"/>
      <c r="J71" s="37"/>
      <c r="K71" s="37"/>
      <c r="L71" s="38"/>
    </row>
    <row r="72" spans="2:12" x14ac:dyDescent="0.25">
      <c r="B72" s="73" t="s">
        <v>131</v>
      </c>
      <c r="C72" s="33">
        <f>+ATAN((G60-G59)/(H60-H59))</f>
        <v>0.50319868447129268</v>
      </c>
      <c r="D72" s="33">
        <f>C72*180/PI()</f>
        <v>28.831160876740267</v>
      </c>
      <c r="E72" s="33">
        <f t="shared" si="20"/>
        <v>28</v>
      </c>
      <c r="F72" s="33">
        <f t="shared" si="21"/>
        <v>49</v>
      </c>
      <c r="G72" s="97">
        <f t="shared" si="22"/>
        <v>52.179156264960227</v>
      </c>
      <c r="H72" s="37"/>
      <c r="I72" s="37"/>
      <c r="J72" s="37"/>
      <c r="K72" s="37"/>
      <c r="L72" s="38"/>
    </row>
    <row r="73" spans="2:12" x14ac:dyDescent="0.25">
      <c r="B73" s="73" t="s">
        <v>132</v>
      </c>
      <c r="C73" s="33">
        <f>+ATAN((G61-G60)/(H61-H60))</f>
        <v>-0.42815219809410732</v>
      </c>
      <c r="D73" s="33">
        <f>360+C73*180/PI()</f>
        <v>335.46868605995849</v>
      </c>
      <c r="E73" s="33">
        <f t="shared" si="20"/>
        <v>335</v>
      </c>
      <c r="F73" s="33">
        <f t="shared" si="21"/>
        <v>28</v>
      </c>
      <c r="G73" s="97">
        <f t="shared" si="22"/>
        <v>7.2698158505500032</v>
      </c>
      <c r="H73" s="37"/>
      <c r="I73" s="37"/>
      <c r="J73" s="37"/>
      <c r="K73" s="37"/>
      <c r="L73" s="38"/>
    </row>
    <row r="74" spans="2:12" x14ac:dyDescent="0.25">
      <c r="B74" s="73" t="s">
        <v>133</v>
      </c>
      <c r="C74" s="33">
        <f>+ATAN((G62-G61)/(H62-H61))</f>
        <v>-1.2830597383858819</v>
      </c>
      <c r="D74" s="33">
        <f>360+C74*180/PI()</f>
        <v>286.48609212732941</v>
      </c>
      <c r="E74" s="33">
        <f t="shared" si="20"/>
        <v>286</v>
      </c>
      <c r="F74" s="33">
        <f t="shared" si="21"/>
        <v>29</v>
      </c>
      <c r="G74" s="97">
        <f t="shared" si="22"/>
        <v>9.9316583858899321</v>
      </c>
      <c r="H74" s="37"/>
      <c r="I74" s="37"/>
      <c r="J74" s="37"/>
      <c r="K74" s="37"/>
      <c r="L74" s="38"/>
    </row>
    <row r="75" spans="2:12" ht="15.75" thickBot="1" x14ac:dyDescent="0.3">
      <c r="B75" s="74" t="s">
        <v>134</v>
      </c>
      <c r="C75" s="35">
        <f>+ATAN((G55-G62)/(H55-H62))</f>
        <v>1.3196157940550759</v>
      </c>
      <c r="D75" s="35">
        <f>180+C75*180/PI()</f>
        <v>255.60841557816067</v>
      </c>
      <c r="E75" s="35">
        <f t="shared" si="20"/>
        <v>255</v>
      </c>
      <c r="F75" s="35">
        <f t="shared" si="21"/>
        <v>36</v>
      </c>
      <c r="G75" s="98">
        <f t="shared" si="22"/>
        <v>30.296081378426152</v>
      </c>
      <c r="H75" s="37"/>
      <c r="I75" s="37"/>
      <c r="J75" s="37"/>
      <c r="K75" s="37"/>
      <c r="L75" s="38"/>
    </row>
    <row r="76" spans="2:12" ht="15.75" thickBot="1" x14ac:dyDescent="0.3"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8"/>
    </row>
    <row r="77" spans="2:12" x14ac:dyDescent="0.25">
      <c r="B77" s="71" t="s">
        <v>116</v>
      </c>
      <c r="C77" s="82">
        <f>+SQRT((G56-G55)^2+(H56-H55)^2)</f>
        <v>565.38370991682018</v>
      </c>
      <c r="D77" s="37"/>
      <c r="E77" s="37"/>
      <c r="F77" s="37"/>
      <c r="G77" s="37"/>
      <c r="H77" s="37"/>
      <c r="I77" s="37"/>
      <c r="J77" s="37"/>
      <c r="K77" s="37"/>
      <c r="L77" s="38"/>
    </row>
    <row r="78" spans="2:12" x14ac:dyDescent="0.25">
      <c r="B78" s="73" t="s">
        <v>117</v>
      </c>
      <c r="C78" s="84">
        <f>+SQRT((G57-G56)^2+(H57-H56)^2)</f>
        <v>650.34528397655242</v>
      </c>
      <c r="D78" s="37"/>
      <c r="E78" s="37"/>
      <c r="F78" s="37"/>
      <c r="G78" s="37"/>
      <c r="H78" s="37"/>
      <c r="I78" s="37"/>
      <c r="J78" s="37"/>
      <c r="K78" s="37"/>
      <c r="L78" s="38"/>
    </row>
    <row r="79" spans="2:12" x14ac:dyDescent="0.25">
      <c r="B79" s="73" t="s">
        <v>118</v>
      </c>
      <c r="C79" s="84">
        <f>+SQRT((G58-G57)^2+(H58-H57)^2)</f>
        <v>661.21152255792549</v>
      </c>
      <c r="D79" s="37"/>
      <c r="E79" s="37"/>
      <c r="F79" s="37"/>
      <c r="G79" s="37"/>
      <c r="H79" s="37"/>
      <c r="I79" s="37"/>
      <c r="J79" s="37"/>
      <c r="K79" s="37"/>
      <c r="L79" s="38"/>
    </row>
    <row r="80" spans="2:12" x14ac:dyDescent="0.25">
      <c r="B80" s="73" t="s">
        <v>119</v>
      </c>
      <c r="C80" s="84">
        <f>+SQRT((G59-G58)^2+(H59-H58)^2)</f>
        <v>905.3252522942538</v>
      </c>
      <c r="D80" s="37"/>
      <c r="E80" s="37"/>
      <c r="F80" s="37"/>
      <c r="G80" s="37"/>
      <c r="H80" s="37"/>
      <c r="I80" s="37"/>
      <c r="J80" s="37"/>
      <c r="K80" s="37"/>
      <c r="L80" s="38"/>
    </row>
    <row r="81" spans="2:12" x14ac:dyDescent="0.25">
      <c r="B81" s="73" t="s">
        <v>135</v>
      </c>
      <c r="C81" s="84">
        <f>+SQRT((G60-G59)^2+(H60-H59)^2)</f>
        <v>729.94468533977886</v>
      </c>
      <c r="D81" s="37"/>
      <c r="E81" s="37"/>
      <c r="F81" s="37"/>
      <c r="G81" s="37"/>
      <c r="H81" s="37"/>
      <c r="I81" s="37"/>
      <c r="J81" s="37"/>
      <c r="K81" s="37"/>
      <c r="L81" s="38"/>
    </row>
    <row r="82" spans="2:12" x14ac:dyDescent="0.25">
      <c r="B82" s="73" t="s">
        <v>136</v>
      </c>
      <c r="C82" s="84">
        <f>+SQRT((G61-G60)^2+(H61-H60)^2)</f>
        <v>597.41417735200673</v>
      </c>
      <c r="D82" s="37"/>
      <c r="E82" s="37"/>
      <c r="F82" s="37"/>
      <c r="G82" s="37"/>
      <c r="H82" s="37"/>
      <c r="I82" s="37"/>
      <c r="J82" s="37"/>
      <c r="K82" s="37"/>
      <c r="L82" s="38"/>
    </row>
    <row r="83" spans="2:12" x14ac:dyDescent="0.25">
      <c r="B83" s="73" t="s">
        <v>137</v>
      </c>
      <c r="C83" s="84">
        <f>+SQRT((G62-G61)^2+(H62-H61)^2)</f>
        <v>901.14640699595725</v>
      </c>
      <c r="D83" s="37"/>
      <c r="E83" s="37"/>
      <c r="F83" s="37"/>
      <c r="G83" s="37"/>
      <c r="H83" s="37"/>
      <c r="I83" s="37"/>
      <c r="J83" s="37"/>
      <c r="K83" s="37"/>
      <c r="L83" s="38"/>
    </row>
    <row r="84" spans="2:12" ht="15.75" thickBot="1" x14ac:dyDescent="0.3">
      <c r="B84" s="74" t="s">
        <v>138</v>
      </c>
      <c r="C84" s="86">
        <f>+SQRT((G55-G62)^2+(H55-H62)^2)</f>
        <v>822.81296041251983</v>
      </c>
      <c r="D84" s="37"/>
      <c r="E84" s="37"/>
      <c r="F84" s="37"/>
      <c r="G84" s="37"/>
      <c r="H84" s="37"/>
      <c r="I84" s="37"/>
      <c r="J84" s="37"/>
      <c r="K84" s="37"/>
      <c r="L84" s="38"/>
    </row>
    <row r="85" spans="2:12" ht="15.75" thickBot="1" x14ac:dyDescent="0.3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8"/>
    </row>
    <row r="86" spans="2:12" x14ac:dyDescent="0.25">
      <c r="B86" s="71" t="s">
        <v>120</v>
      </c>
      <c r="C86" s="72">
        <f>+D68-D75+180</f>
        <v>67.29293728881629</v>
      </c>
      <c r="D86" s="72">
        <f>+INT(C86)</f>
        <v>67</v>
      </c>
      <c r="E86" s="72">
        <f>+INT((C86-D86)*60)</f>
        <v>17</v>
      </c>
      <c r="F86" s="96">
        <f>+(((C86-D86)*60)-E86)*60</f>
        <v>34.574239738644792</v>
      </c>
      <c r="G86" s="37"/>
      <c r="H86" s="37"/>
      <c r="I86" s="37"/>
      <c r="J86" s="37"/>
      <c r="K86" s="37"/>
      <c r="L86" s="38"/>
    </row>
    <row r="87" spans="2:12" x14ac:dyDescent="0.25">
      <c r="B87" s="73" t="s">
        <v>121</v>
      </c>
      <c r="C87" s="33">
        <f>+D69-D68+180</f>
        <v>237.99600905991085</v>
      </c>
      <c r="D87" s="33">
        <f t="shared" ref="D87:D90" si="23">+INT(C87)</f>
        <v>237</v>
      </c>
      <c r="E87" s="33">
        <f t="shared" ref="E87:E90" si="24">+INT((C87-D87)*60)</f>
        <v>59</v>
      </c>
      <c r="F87" s="97">
        <f t="shared" ref="F87:F90" si="25">+(((C87-D87)*60)-E87)*60</f>
        <v>45.63261567904874</v>
      </c>
      <c r="G87" s="37"/>
      <c r="H87" s="37"/>
      <c r="I87" s="37"/>
      <c r="J87" s="37"/>
      <c r="K87" s="37"/>
      <c r="L87" s="38"/>
    </row>
    <row r="88" spans="2:12" x14ac:dyDescent="0.25">
      <c r="B88" s="73" t="s">
        <v>122</v>
      </c>
      <c r="C88" s="33">
        <f>+D70-D69+180</f>
        <v>101.223033823714</v>
      </c>
      <c r="D88" s="33">
        <f t="shared" si="23"/>
        <v>101</v>
      </c>
      <c r="E88" s="33">
        <f t="shared" si="24"/>
        <v>13</v>
      </c>
      <c r="F88" s="97">
        <f t="shared" si="25"/>
        <v>22.921765370416551</v>
      </c>
      <c r="G88" s="37"/>
      <c r="H88" s="37"/>
      <c r="I88" s="37"/>
      <c r="J88" s="37"/>
      <c r="K88" s="37"/>
      <c r="L88" s="38"/>
    </row>
    <row r="89" spans="2:12" x14ac:dyDescent="0.25">
      <c r="B89" s="73" t="s">
        <v>123</v>
      </c>
      <c r="C89" s="33">
        <f>+D71-D70+180</f>
        <v>136.67558275465115</v>
      </c>
      <c r="D89" s="33">
        <f t="shared" si="23"/>
        <v>136</v>
      </c>
      <c r="E89" s="33">
        <f t="shared" si="24"/>
        <v>40</v>
      </c>
      <c r="F89" s="97">
        <f t="shared" si="25"/>
        <v>32.097916744123722</v>
      </c>
      <c r="G89" s="37"/>
      <c r="H89" s="37"/>
      <c r="I89" s="37"/>
      <c r="J89" s="37"/>
      <c r="K89" s="37"/>
      <c r="L89" s="38"/>
    </row>
    <row r="90" spans="2:12" x14ac:dyDescent="0.25">
      <c r="B90" s="73" t="s">
        <v>124</v>
      </c>
      <c r="C90" s="33">
        <f>+D72-D71+180</f>
        <v>130.03518237148731</v>
      </c>
      <c r="D90" s="33">
        <f t="shared" si="23"/>
        <v>130</v>
      </c>
      <c r="E90" s="33">
        <f t="shared" si="24"/>
        <v>2</v>
      </c>
      <c r="F90" s="97">
        <f t="shared" si="25"/>
        <v>6.656537354313059</v>
      </c>
      <c r="G90" s="37"/>
      <c r="H90" s="37"/>
      <c r="I90" s="37"/>
      <c r="J90" s="37"/>
      <c r="K90" s="37"/>
      <c r="L90" s="38"/>
    </row>
    <row r="91" spans="2:12" x14ac:dyDescent="0.25">
      <c r="B91" s="73" t="s">
        <v>139</v>
      </c>
      <c r="C91" s="33">
        <f>+D73-D72-180</f>
        <v>126.6375251832182</v>
      </c>
      <c r="D91" s="33">
        <f t="shared" ref="D91:D93" si="26">+INT(C91)</f>
        <v>126</v>
      </c>
      <c r="E91" s="33">
        <f t="shared" ref="E91:E93" si="27">+INT((C91-D91)*60)</f>
        <v>38</v>
      </c>
      <c r="F91" s="97">
        <f t="shared" ref="F91:F93" si="28">+(((C91-D91)*60)-E91)*60</f>
        <v>15.090659585525827</v>
      </c>
      <c r="G91" s="37"/>
      <c r="H91" s="37"/>
      <c r="I91" s="37"/>
      <c r="J91" s="37"/>
      <c r="K91" s="37"/>
      <c r="L91" s="38"/>
    </row>
    <row r="92" spans="2:12" x14ac:dyDescent="0.25">
      <c r="B92" s="73" t="s">
        <v>140</v>
      </c>
      <c r="C92" s="33">
        <f>+D74-D73+180</f>
        <v>131.01740606737093</v>
      </c>
      <c r="D92" s="33">
        <f t="shared" si="26"/>
        <v>131</v>
      </c>
      <c r="E92" s="33">
        <f t="shared" si="27"/>
        <v>1</v>
      </c>
      <c r="F92" s="97">
        <f t="shared" si="28"/>
        <v>2.6618425353399289</v>
      </c>
      <c r="G92" s="37"/>
      <c r="H92" s="37"/>
      <c r="I92" s="37"/>
      <c r="J92" s="37"/>
      <c r="K92" s="37"/>
      <c r="L92" s="38"/>
    </row>
    <row r="93" spans="2:12" ht="15.75" thickBot="1" x14ac:dyDescent="0.3">
      <c r="B93" s="74" t="s">
        <v>141</v>
      </c>
      <c r="C93" s="35">
        <f>+D75-D74+180</f>
        <v>149.12232345083126</v>
      </c>
      <c r="D93" s="35">
        <f t="shared" si="26"/>
        <v>149</v>
      </c>
      <c r="E93" s="35">
        <f t="shared" si="27"/>
        <v>7</v>
      </c>
      <c r="F93" s="98">
        <f t="shared" si="28"/>
        <v>20.36442299253622</v>
      </c>
      <c r="G93" s="43"/>
      <c r="H93" s="43"/>
      <c r="I93" s="43"/>
      <c r="J93" s="43"/>
      <c r="K93" s="43"/>
      <c r="L93" s="44"/>
    </row>
    <row r="94" spans="2:12" x14ac:dyDescent="0.2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</row>
    <row r="95" spans="2:12" x14ac:dyDescent="0.25">
      <c r="B95" s="45"/>
      <c r="C95" s="45"/>
      <c r="D95" s="45"/>
      <c r="E95" s="45"/>
      <c r="F95" s="99"/>
      <c r="G95" s="45"/>
      <c r="H95" s="45"/>
      <c r="I95" s="45"/>
      <c r="J95" s="45"/>
      <c r="K95" s="45"/>
      <c r="L95" s="45"/>
    </row>
    <row r="96" spans="2:12" x14ac:dyDescent="0.25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</row>
    <row r="97" spans="2:12" x14ac:dyDescent="0.25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</row>
    <row r="98" spans="2:12" x14ac:dyDescent="0.2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2:12" x14ac:dyDescent="0.2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0" spans="2:12" x14ac:dyDescent="0.25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2:12" x14ac:dyDescent="0.25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2:12" x14ac:dyDescent="0.25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2:12" x14ac:dyDescent="0.25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2:12" x14ac:dyDescent="0.25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2:12" x14ac:dyDescent="0.25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2:12" x14ac:dyDescent="0.25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2:12" x14ac:dyDescent="0.25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2:12" x14ac:dyDescent="0.25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2:12" x14ac:dyDescent="0.25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2:12" x14ac:dyDescent="0.25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2:12" x14ac:dyDescent="0.25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</row>
    <row r="112" spans="2:12" x14ac:dyDescent="0.25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</row>
    <row r="113" spans="2:12" x14ac:dyDescent="0.25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</row>
    <row r="114" spans="2:12" x14ac:dyDescent="0.25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</row>
    <row r="115" spans="2:12" x14ac:dyDescent="0.25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2:12" x14ac:dyDescent="0.25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2:12" x14ac:dyDescent="0.25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2:12" x14ac:dyDescent="0.25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</row>
    <row r="119" spans="2:12" x14ac:dyDescent="0.25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2:12" x14ac:dyDescent="0.25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</row>
    <row r="121" spans="2:12" x14ac:dyDescent="0.25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</row>
    <row r="122" spans="2:12" x14ac:dyDescent="0.25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2:12" x14ac:dyDescent="0.25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2:12" x14ac:dyDescent="0.25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</row>
    <row r="125" spans="2:12" x14ac:dyDescent="0.25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</row>
    <row r="126" spans="2:12" x14ac:dyDescent="0.25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</row>
    <row r="127" spans="2:12" x14ac:dyDescent="0.25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2:12" x14ac:dyDescent="0.25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</row>
    <row r="129" spans="2:12" x14ac:dyDescent="0.25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</row>
    <row r="130" spans="2:12" x14ac:dyDescent="0.25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</row>
    <row r="131" spans="2:12" x14ac:dyDescent="0.2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</row>
    <row r="132" spans="2:12" x14ac:dyDescent="0.2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</row>
    <row r="133" spans="2:12" x14ac:dyDescent="0.2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</row>
    <row r="134" spans="2:12" x14ac:dyDescent="0.2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</row>
    <row r="135" spans="2:12" x14ac:dyDescent="0.2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</row>
    <row r="136" spans="2:12" x14ac:dyDescent="0.2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</row>
    <row r="137" spans="2:12" x14ac:dyDescent="0.2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</row>
    <row r="138" spans="2:12" x14ac:dyDescent="0.2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</row>
    <row r="139" spans="2:12" x14ac:dyDescent="0.2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</row>
    <row r="140" spans="2:12" x14ac:dyDescent="0.2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2:12" x14ac:dyDescent="0.2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</row>
    <row r="142" spans="2:12" x14ac:dyDescent="0.2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2:12" x14ac:dyDescent="0.2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</row>
    <row r="144" spans="2:12" x14ac:dyDescent="0.2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</row>
    <row r="145" spans="2:12" x14ac:dyDescent="0.2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</row>
    <row r="146" spans="2:12" x14ac:dyDescent="0.2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</row>
    <row r="147" spans="2:12" x14ac:dyDescent="0.2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2:12" x14ac:dyDescent="0.2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2:12" x14ac:dyDescent="0.2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2:12" x14ac:dyDescent="0.25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2:12" x14ac:dyDescent="0.25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2:12" x14ac:dyDescent="0.25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2:12" x14ac:dyDescent="0.25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2:12" x14ac:dyDescent="0.25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2:12" x14ac:dyDescent="0.25"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2:12" x14ac:dyDescent="0.25"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</row>
  </sheetData>
  <mergeCells count="28">
    <mergeCell ref="B51:L51"/>
    <mergeCell ref="B66:L66"/>
    <mergeCell ref="K20:K21"/>
    <mergeCell ref="L20:L21"/>
    <mergeCell ref="B40:B41"/>
    <mergeCell ref="C40:E40"/>
    <mergeCell ref="F40:F41"/>
    <mergeCell ref="H41:I41"/>
    <mergeCell ref="L4:L5"/>
    <mergeCell ref="B18:L18"/>
    <mergeCell ref="B20:B21"/>
    <mergeCell ref="C20:C21"/>
    <mergeCell ref="D20:D21"/>
    <mergeCell ref="E20:E21"/>
    <mergeCell ref="F20:F21"/>
    <mergeCell ref="G20:G21"/>
    <mergeCell ref="H20:H21"/>
    <mergeCell ref="I20:J20"/>
    <mergeCell ref="B2:L2"/>
    <mergeCell ref="B4:B5"/>
    <mergeCell ref="C4:C5"/>
    <mergeCell ref="D4:D5"/>
    <mergeCell ref="E4:E5"/>
    <mergeCell ref="F4:F5"/>
    <mergeCell ref="G4:G5"/>
    <mergeCell ref="H4:H5"/>
    <mergeCell ref="I4:J4"/>
    <mergeCell ref="K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1</vt:lpstr>
      <vt:lpstr>Ejercicio 2</vt:lpstr>
      <vt:lpstr>Ejercicio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</dc:creator>
  <cp:lastModifiedBy>UTE</cp:lastModifiedBy>
  <dcterms:created xsi:type="dcterms:W3CDTF">2025-06-03T12:10:26Z</dcterms:created>
  <dcterms:modified xsi:type="dcterms:W3CDTF">2025-06-03T15:17:11Z</dcterms:modified>
</cp:coreProperties>
</file>