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604503\Downloads\"/>
    </mc:Choice>
  </mc:AlternateContent>
  <bookViews>
    <workbookView xWindow="0" yWindow="0" windowWidth="25125" windowHeight="11925" firstSheet="3" activeTab="11"/>
  </bookViews>
  <sheets>
    <sheet name="Ejercicio 1" sheetId="6" r:id="rId1"/>
    <sheet name="Ejercicio 2" sheetId="7" r:id="rId2"/>
    <sheet name="Ejercicio 3" sheetId="8" r:id="rId3"/>
    <sheet name="Ejercicio 4" sheetId="9" r:id="rId4"/>
    <sheet name="Ejercicio 5" sheetId="1" r:id="rId5"/>
    <sheet name="Ejercicio 6" sheetId="2" r:id="rId6"/>
    <sheet name="Ejercicio 7" sheetId="4" r:id="rId7"/>
    <sheet name="Ejercicio 8" sheetId="5" r:id="rId8"/>
    <sheet name="Ejercicio 9" sheetId="10" r:id="rId9"/>
    <sheet name="Ejercicio 10" sheetId="11" r:id="rId10"/>
    <sheet name="Ejercicio 11" sheetId="12" r:id="rId11"/>
    <sheet name="Ejercicio 13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3" l="1"/>
  <c r="B22" i="13" s="1"/>
  <c r="K6" i="13"/>
  <c r="B20" i="13"/>
  <c r="B21" i="13"/>
  <c r="B19" i="13"/>
  <c r="B18" i="13"/>
  <c r="B17" i="13"/>
  <c r="B16" i="13"/>
  <c r="B15" i="13"/>
  <c r="H6" i="13"/>
  <c r="I5" i="13"/>
  <c r="H5" i="13"/>
  <c r="I4" i="13"/>
  <c r="H4" i="13"/>
  <c r="I1" i="13"/>
  <c r="I3" i="13"/>
  <c r="H3" i="13"/>
  <c r="B14" i="13"/>
  <c r="G6" i="13"/>
  <c r="G5" i="13"/>
  <c r="G4" i="13"/>
  <c r="G2" i="13"/>
  <c r="G3" i="13"/>
  <c r="F3" i="13"/>
  <c r="B13" i="13"/>
  <c r="E6" i="13"/>
  <c r="E5" i="13"/>
  <c r="E4" i="13"/>
  <c r="E3" i="13"/>
  <c r="E2" i="13"/>
  <c r="S53" i="12" l="1"/>
  <c r="R53" i="12"/>
  <c r="S52" i="12"/>
  <c r="R52" i="12"/>
  <c r="S51" i="12"/>
  <c r="R51" i="12"/>
  <c r="N76" i="12"/>
  <c r="N63" i="12"/>
  <c r="N74" i="12"/>
  <c r="N73" i="12"/>
  <c r="N72" i="12"/>
  <c r="N71" i="12"/>
  <c r="N61" i="12"/>
  <c r="N60" i="12"/>
  <c r="N59" i="12"/>
  <c r="N58" i="12"/>
  <c r="N50" i="12"/>
  <c r="N48" i="12"/>
  <c r="N47" i="12"/>
  <c r="N46" i="12"/>
  <c r="N45" i="12"/>
  <c r="N70" i="12"/>
  <c r="N69" i="12"/>
  <c r="N57" i="12"/>
  <c r="N56" i="12"/>
  <c r="N44" i="12"/>
  <c r="N43" i="12"/>
  <c r="M46" i="12"/>
  <c r="M47" i="12"/>
  <c r="M48" i="12"/>
  <c r="M58" i="12"/>
  <c r="M59" i="12"/>
  <c r="M60" i="12"/>
  <c r="M61" i="12"/>
  <c r="M71" i="12"/>
  <c r="M72" i="12"/>
  <c r="M73" i="12"/>
  <c r="M74" i="12"/>
  <c r="M45" i="12"/>
  <c r="K50" i="12"/>
  <c r="K63" i="12"/>
  <c r="K76" i="12"/>
  <c r="K74" i="12"/>
  <c r="K73" i="12"/>
  <c r="K72" i="12"/>
  <c r="K71" i="12"/>
  <c r="K70" i="12"/>
  <c r="K69" i="12"/>
  <c r="K61" i="12"/>
  <c r="K60" i="12"/>
  <c r="K59" i="12"/>
  <c r="K58" i="12"/>
  <c r="K57" i="12"/>
  <c r="K56" i="12"/>
  <c r="K48" i="12"/>
  <c r="K47" i="12"/>
  <c r="K46" i="12"/>
  <c r="K45" i="12"/>
  <c r="K44" i="12"/>
  <c r="K43" i="12"/>
  <c r="J74" i="12"/>
  <c r="J73" i="12"/>
  <c r="J72" i="12"/>
  <c r="J71" i="12"/>
  <c r="J61" i="12"/>
  <c r="J60" i="12"/>
  <c r="J59" i="12"/>
  <c r="J58" i="12"/>
  <c r="J48" i="12"/>
  <c r="J47" i="12"/>
  <c r="J46" i="12"/>
  <c r="J45" i="12"/>
  <c r="E74" i="12"/>
  <c r="B74" i="12"/>
  <c r="E73" i="12"/>
  <c r="B73" i="12"/>
  <c r="E72" i="12"/>
  <c r="B72" i="12"/>
  <c r="E71" i="12"/>
  <c r="B71" i="12"/>
  <c r="E61" i="12"/>
  <c r="B61" i="12"/>
  <c r="E60" i="12"/>
  <c r="B60" i="12"/>
  <c r="E59" i="12"/>
  <c r="B59" i="12"/>
  <c r="E58" i="12"/>
  <c r="B58" i="12"/>
  <c r="B48" i="12"/>
  <c r="B47" i="12"/>
  <c r="E47" i="12"/>
  <c r="E48" i="12"/>
  <c r="E46" i="12"/>
  <c r="E45" i="12"/>
  <c r="B66" i="12"/>
  <c r="C66" i="12"/>
  <c r="C53" i="12"/>
  <c r="B53" i="12"/>
  <c r="C40" i="12"/>
  <c r="B40" i="12"/>
  <c r="B29" i="12" l="1"/>
  <c r="C7" i="12"/>
  <c r="C6" i="12"/>
  <c r="C5" i="12"/>
  <c r="B7" i="12"/>
  <c r="B6" i="12"/>
  <c r="B5" i="12"/>
  <c r="F22" i="11"/>
  <c r="F21" i="11"/>
  <c r="F20" i="11"/>
  <c r="F19" i="11"/>
  <c r="F18" i="11"/>
  <c r="C23" i="11"/>
  <c r="B23" i="11"/>
  <c r="C19" i="11"/>
  <c r="C20" i="11"/>
  <c r="C21" i="11"/>
  <c r="C22" i="11"/>
  <c r="B19" i="11"/>
  <c r="B20" i="11"/>
  <c r="B21" i="11"/>
  <c r="B22" i="11"/>
  <c r="C18" i="11"/>
  <c r="B18" i="11"/>
  <c r="B14" i="11"/>
  <c r="B13" i="11"/>
  <c r="B12" i="11"/>
  <c r="B11" i="11"/>
  <c r="B10" i="11"/>
  <c r="C7" i="11"/>
  <c r="C6" i="11"/>
  <c r="C5" i="11"/>
  <c r="C4" i="11"/>
  <c r="B7" i="11"/>
  <c r="B6" i="11"/>
  <c r="B5" i="11"/>
  <c r="B4" i="11"/>
  <c r="C3" i="11"/>
  <c r="B3" i="11"/>
  <c r="G6" i="11"/>
  <c r="G5" i="11"/>
  <c r="G4" i="11"/>
  <c r="G3" i="11"/>
  <c r="G2" i="11"/>
  <c r="D29" i="10"/>
  <c r="C29" i="10"/>
  <c r="C27" i="10"/>
  <c r="C26" i="10"/>
  <c r="B27" i="10"/>
  <c r="B26" i="10"/>
  <c r="E24" i="10"/>
  <c r="D24" i="10"/>
  <c r="E23" i="10"/>
  <c r="D23" i="10"/>
  <c r="E22" i="10"/>
  <c r="D22" i="10"/>
  <c r="D19" i="10"/>
  <c r="D18" i="10"/>
  <c r="D17" i="10"/>
  <c r="D16" i="10"/>
  <c r="B17" i="10"/>
  <c r="A13" i="10"/>
  <c r="G4" i="10"/>
  <c r="F4" i="10"/>
  <c r="B10" i="10"/>
  <c r="B9" i="10"/>
  <c r="B7" i="10"/>
  <c r="B6" i="10"/>
  <c r="B39" i="5"/>
  <c r="B38" i="5"/>
  <c r="B37" i="5"/>
  <c r="E36" i="5"/>
  <c r="E35" i="5"/>
  <c r="E34" i="5"/>
  <c r="F66" i="12" l="1"/>
  <c r="B13" i="12"/>
  <c r="D17" i="12" s="1"/>
  <c r="D22" i="12" s="1"/>
  <c r="F53" i="12"/>
  <c r="B14" i="12"/>
  <c r="D18" i="12" s="1"/>
  <c r="B12" i="12"/>
  <c r="D16" i="12" s="1"/>
  <c r="D21" i="12" s="1"/>
  <c r="F40" i="12"/>
  <c r="B32" i="12"/>
  <c r="F32" i="12" s="1"/>
  <c r="B31" i="12"/>
  <c r="E34" i="12"/>
  <c r="B33" i="12"/>
  <c r="F34" i="12"/>
  <c r="C44" i="5"/>
  <c r="B43" i="5"/>
  <c r="C42" i="5"/>
  <c r="C43" i="5"/>
  <c r="B42" i="5"/>
  <c r="B44" i="5"/>
  <c r="F27" i="5"/>
  <c r="B14" i="4"/>
  <c r="J18" i="4"/>
  <c r="F31" i="12" l="1"/>
  <c r="E31" i="12"/>
  <c r="E32" i="12"/>
  <c r="B46" i="12"/>
  <c r="B45" i="12"/>
  <c r="E33" i="12"/>
  <c r="F33" i="12"/>
  <c r="D23" i="12"/>
  <c r="B50" i="5"/>
  <c r="B48" i="5"/>
  <c r="B49" i="5"/>
  <c r="M18" i="4"/>
  <c r="M19" i="4"/>
  <c r="M20" i="4"/>
  <c r="J20" i="4"/>
  <c r="J19" i="4"/>
  <c r="B18" i="4"/>
  <c r="B12" i="2"/>
  <c r="B10" i="9"/>
  <c r="B9" i="9"/>
  <c r="F8" i="9"/>
  <c r="E8" i="9"/>
  <c r="D8" i="9"/>
  <c r="C8" i="9"/>
  <c r="B6" i="9"/>
  <c r="B7" i="9"/>
  <c r="G8" i="8"/>
  <c r="F8" i="8"/>
  <c r="E8" i="8"/>
  <c r="D8" i="8"/>
  <c r="B8" i="8"/>
  <c r="B11" i="8"/>
  <c r="B10" i="8"/>
  <c r="B7" i="7"/>
  <c r="B6" i="7"/>
  <c r="E3" i="7"/>
  <c r="D3" i="7"/>
  <c r="F6" i="6"/>
  <c r="E6" i="6"/>
  <c r="D6" i="6"/>
  <c r="C6" i="6"/>
  <c r="B6" i="6"/>
  <c r="F5" i="6"/>
  <c r="E5" i="6"/>
  <c r="D5" i="6"/>
  <c r="C5" i="6"/>
  <c r="B5" i="6"/>
  <c r="B54" i="5" l="1"/>
  <c r="C54" i="5" s="1"/>
  <c r="D54" i="5" s="1"/>
  <c r="B8" i="9"/>
  <c r="C7" i="9"/>
  <c r="E27" i="5"/>
  <c r="D27" i="5"/>
  <c r="C27" i="5"/>
  <c r="B27" i="5"/>
  <c r="B22" i="5"/>
  <c r="B23" i="5"/>
  <c r="B21" i="5"/>
  <c r="C17" i="5"/>
  <c r="C16" i="5"/>
  <c r="B17" i="5"/>
  <c r="B16" i="5"/>
  <c r="C15" i="5"/>
  <c r="B15" i="5"/>
  <c r="E9" i="5"/>
  <c r="E8" i="5"/>
  <c r="E7" i="5"/>
  <c r="N8" i="4"/>
  <c r="N7" i="4"/>
  <c r="N6" i="4"/>
  <c r="I8" i="4"/>
  <c r="I7" i="4"/>
  <c r="I6" i="4"/>
  <c r="F13" i="2"/>
  <c r="E13" i="2"/>
  <c r="D13" i="2"/>
  <c r="C13" i="2"/>
  <c r="B13" i="2"/>
  <c r="F12" i="2"/>
  <c r="E12" i="2"/>
  <c r="D12" i="2"/>
  <c r="C12" i="2"/>
  <c r="D8" i="2"/>
  <c r="B11" i="2" s="1"/>
  <c r="E54" i="5" l="1"/>
  <c r="F54" i="5" s="1"/>
  <c r="D7" i="9"/>
  <c r="E7" i="9"/>
  <c r="F7" i="9" s="1"/>
  <c r="B16" i="4"/>
  <c r="C16" i="4" s="1"/>
  <c r="D16" i="4" s="1"/>
  <c r="B15" i="4"/>
  <c r="C15" i="4" s="1"/>
  <c r="C14" i="4"/>
  <c r="B20" i="4"/>
  <c r="Q8" i="4"/>
  <c r="Q24" i="4" s="1"/>
  <c r="B19" i="4"/>
  <c r="G19" i="4" s="1"/>
  <c r="B23" i="4" s="1"/>
  <c r="Q7" i="4"/>
  <c r="Q23" i="4" s="1"/>
  <c r="Q6" i="4"/>
  <c r="Q22" i="4" s="1"/>
  <c r="E16" i="4"/>
  <c r="D15" i="4"/>
  <c r="E15" i="4" s="1"/>
  <c r="D14" i="4"/>
  <c r="E14" i="4" s="1"/>
  <c r="B28" i="1"/>
  <c r="C26" i="1"/>
  <c r="B26" i="1"/>
  <c r="C25" i="1"/>
  <c r="B25" i="1"/>
  <c r="F22" i="1"/>
  <c r="E22" i="1"/>
  <c r="E21" i="1"/>
  <c r="F21" i="1" s="1"/>
  <c r="D14" i="1"/>
  <c r="D13" i="1"/>
  <c r="C14" i="1"/>
  <c r="C13" i="1"/>
  <c r="B14" i="1"/>
  <c r="B13" i="1"/>
  <c r="G9" i="1"/>
  <c r="J8" i="1"/>
  <c r="I8" i="1"/>
  <c r="H8" i="1"/>
  <c r="G8" i="1"/>
  <c r="N14" i="1"/>
  <c r="N16" i="1" s="1"/>
  <c r="N13" i="1"/>
  <c r="A14" i="1"/>
  <c r="A13" i="1"/>
  <c r="E9" i="1"/>
  <c r="E8" i="1"/>
  <c r="C19" i="4" l="1"/>
  <c r="D19" i="4" s="1"/>
  <c r="E19" i="4" s="1"/>
  <c r="G20" i="4"/>
  <c r="B24" i="4" s="1"/>
  <c r="C20" i="4"/>
  <c r="D20" i="4" s="1"/>
  <c r="E20" i="4" s="1"/>
  <c r="H9" i="1"/>
  <c r="E13" i="1"/>
  <c r="F13" i="1" s="1"/>
  <c r="G13" i="1" s="1"/>
  <c r="H13" i="1" s="1"/>
  <c r="E14" i="1"/>
  <c r="F14" i="1" s="1"/>
  <c r="G14" i="1" s="1"/>
  <c r="H14" i="1" s="1"/>
  <c r="C18" i="4" l="1"/>
  <c r="D18" i="4"/>
  <c r="E18" i="4" s="1"/>
  <c r="G18" i="4"/>
  <c r="B22" i="4" s="1"/>
  <c r="J9" i="1"/>
  <c r="I9" i="1"/>
</calcChain>
</file>

<file path=xl/sharedStrings.xml><?xml version="1.0" encoding="utf-8"?>
<sst xmlns="http://schemas.openxmlformats.org/spreadsheetml/2006/main" count="282" uniqueCount="173">
  <si>
    <t>A</t>
  </si>
  <si>
    <t>X</t>
  </si>
  <si>
    <t>Y</t>
  </si>
  <si>
    <t>Punto</t>
  </si>
  <si>
    <t>Dist(A,B)</t>
  </si>
  <si>
    <t>Dist(A,C)</t>
  </si>
  <si>
    <t>Az(A,B)</t>
  </si>
  <si>
    <t>Az(A,C)</t>
  </si>
  <si>
    <t>CVI</t>
  </si>
  <si>
    <t>CVD</t>
  </si>
  <si>
    <t>52°24'46"</t>
  </si>
  <si>
    <t>101°35'10"</t>
  </si>
  <si>
    <t>Verificar existencia de error de eje de colimación</t>
  </si>
  <si>
    <t>ε</t>
  </si>
  <si>
    <t>Calcular la distancia B,C</t>
  </si>
  <si>
    <t xml:space="preserve">1) corrección del Azimut </t>
  </si>
  <si>
    <t>52°24'51"</t>
  </si>
  <si>
    <t>101°35'15"</t>
  </si>
  <si>
    <t>232°24'56"</t>
  </si>
  <si>
    <t>281°35'20"</t>
  </si>
  <si>
    <t>ε=(Ld-Li±180°)/2</t>
  </si>
  <si>
    <t>232°24'51"</t>
  </si>
  <si>
    <t>281°35'15"</t>
  </si>
  <si>
    <t>B</t>
  </si>
  <si>
    <t>C</t>
  </si>
  <si>
    <t>Dist(B,C)</t>
  </si>
  <si>
    <t>Se colocaron 2 Mojones de hierro que distan 50m entre si. Dicha medida fue chequeada con hilos invar.</t>
  </si>
  <si>
    <t>Para realizar el relevamiento, se estaciona en uno de los mojones y se orienta al otro.</t>
  </si>
  <si>
    <t>AngH</t>
  </si>
  <si>
    <t>0°0'0"</t>
  </si>
  <si>
    <t>AngV</t>
  </si>
  <si>
    <t>DistINC</t>
  </si>
  <si>
    <t>DistH</t>
  </si>
  <si>
    <t>79°59'25"</t>
  </si>
  <si>
    <t>Al controlar la distancia entre los mojones se midió los angulos horizontal, vertical y la distancia inclinada, verificar posibles errores instrumentales</t>
  </si>
  <si>
    <t>Difiere de 50m, por lo tanto puede existir un error de Cenit</t>
  </si>
  <si>
    <t>AngVverdadero</t>
  </si>
  <si>
    <t>Se pretende comprobar si una columna se encuentra vertical, para ello, se miden 3 puntos sobre una vertical de la columna</t>
  </si>
  <si>
    <t>DI</t>
  </si>
  <si>
    <t>comprobamos si existe error de cenit</t>
  </si>
  <si>
    <t>AngV(CVI)</t>
  </si>
  <si>
    <t>AngV(CVD)</t>
  </si>
  <si>
    <t>ε1</t>
  </si>
  <si>
    <t>ε2</t>
  </si>
  <si>
    <t>ε3</t>
  </si>
  <si>
    <t>angV1</t>
  </si>
  <si>
    <t>angV2</t>
  </si>
  <si>
    <t>anfV3</t>
  </si>
  <si>
    <t>distH1</t>
  </si>
  <si>
    <t>distH2</t>
  </si>
  <si>
    <t>distH3</t>
  </si>
  <si>
    <t>Rad</t>
  </si>
  <si>
    <t>La columna se encuentra vertical</t>
  </si>
  <si>
    <t>98°26'46"</t>
  </si>
  <si>
    <t>80°49'44"</t>
  </si>
  <si>
    <t>71°24'17"</t>
  </si>
  <si>
    <t>261°23'4"</t>
  </si>
  <si>
    <t>279°0'6"</t>
  </si>
  <si>
    <t>288°25'33"</t>
  </si>
  <si>
    <t>Se quiere verificar si 2 segmentos de muro son perpendiculares, para ello desde una estación E, se midieron las distancias y los Az correspondientes.</t>
  </si>
  <si>
    <t>E</t>
  </si>
  <si>
    <t>AzE1</t>
  </si>
  <si>
    <t>AzE2</t>
  </si>
  <si>
    <t>AzE3</t>
  </si>
  <si>
    <t>12°18'40"</t>
  </si>
  <si>
    <t>137°21'4"</t>
  </si>
  <si>
    <t>222°38'56"</t>
  </si>
  <si>
    <t>DE1</t>
  </si>
  <si>
    <t>DE2</t>
  </si>
  <si>
    <t>DE3</t>
  </si>
  <si>
    <t>Calculo las distancias 1-2;2-3;3-1</t>
  </si>
  <si>
    <t>D12</t>
  </si>
  <si>
    <t>D13</t>
  </si>
  <si>
    <t>D23</t>
  </si>
  <si>
    <t>con el teorema del coseno se calcula el angulo entre 1-2 y 2-3</t>
  </si>
  <si>
    <t>Az(AB)</t>
  </si>
  <si>
    <t>AY negativo</t>
  </si>
  <si>
    <t>AzAB</t>
  </si>
  <si>
    <t>35°40'</t>
  </si>
  <si>
    <t>dAB</t>
  </si>
  <si>
    <t>Xb</t>
  </si>
  <si>
    <t>yb</t>
  </si>
  <si>
    <t>Xc</t>
  </si>
  <si>
    <t>Yc</t>
  </si>
  <si>
    <t>dOM</t>
  </si>
  <si>
    <t>dAM</t>
  </si>
  <si>
    <t>dOA</t>
  </si>
  <si>
    <t>cos(O)</t>
  </si>
  <si>
    <t>O</t>
  </si>
  <si>
    <t>Xm</t>
  </si>
  <si>
    <t>Ym</t>
  </si>
  <si>
    <t>AzOM</t>
  </si>
  <si>
    <t>Ejercicio 5</t>
  </si>
  <si>
    <t>Ejercicio 6</t>
  </si>
  <si>
    <t>Ejercicio 7</t>
  </si>
  <si>
    <t>Ejercicio 8</t>
  </si>
  <si>
    <t>Error en la cte de +3cm</t>
  </si>
  <si>
    <t>Serie</t>
  </si>
  <si>
    <t>Ls</t>
  </si>
  <si>
    <t>Lm</t>
  </si>
  <si>
    <t>Li</t>
  </si>
  <si>
    <t>Dist(NA)</t>
  </si>
  <si>
    <t>Dista(NB)</t>
  </si>
  <si>
    <t>Control(NA)</t>
  </si>
  <si>
    <t>Control(NB)</t>
  </si>
  <si>
    <t>errores por debajo del mm</t>
  </si>
  <si>
    <t>Ang(ANB)</t>
  </si>
  <si>
    <t>30,5°</t>
  </si>
  <si>
    <t>centesimales</t>
  </si>
  <si>
    <t>rad</t>
  </si>
  <si>
    <t>Dist(AB)</t>
  </si>
  <si>
    <t>error d</t>
  </si>
  <si>
    <t>K</t>
  </si>
  <si>
    <t>el</t>
  </si>
  <si>
    <t>derivada parcial en funcion de NA</t>
  </si>
  <si>
    <t>derivada parcial en funcion de NB</t>
  </si>
  <si>
    <t>derivada parcial en funcion del angulo</t>
  </si>
  <si>
    <t>error ang</t>
  </si>
  <si>
    <t>error en la distancia AB</t>
  </si>
  <si>
    <t>Distancia</t>
  </si>
  <si>
    <t>Acimut</t>
  </si>
  <si>
    <t>D34</t>
  </si>
  <si>
    <t>D45</t>
  </si>
  <si>
    <t>D51</t>
  </si>
  <si>
    <t>Distancia Base</t>
  </si>
  <si>
    <t xml:space="preserve">ángulos </t>
  </si>
  <si>
    <t>Parte 1</t>
  </si>
  <si>
    <t>La figura se trata de un triangulo isoceles, por lo tanto las distancias al vértice van a ser las mismas</t>
  </si>
  <si>
    <t>Teorema del Seno</t>
  </si>
  <si>
    <t>ángulo al Vértice</t>
  </si>
  <si>
    <t>Vértice</t>
  </si>
  <si>
    <t>Dist AV</t>
  </si>
  <si>
    <t>Pitagoras</t>
  </si>
  <si>
    <t>Dist Vbase</t>
  </si>
  <si>
    <t>Parte 2</t>
  </si>
  <si>
    <t>Xa</t>
  </si>
  <si>
    <t>Ya</t>
  </si>
  <si>
    <t>Azab</t>
  </si>
  <si>
    <t>Aza1</t>
  </si>
  <si>
    <t>Aza2</t>
  </si>
  <si>
    <t>Aza3</t>
  </si>
  <si>
    <t>y</t>
  </si>
  <si>
    <t>x</t>
  </si>
  <si>
    <t>Coord X</t>
  </si>
  <si>
    <t>Parte 3</t>
  </si>
  <si>
    <t>Coord Y</t>
  </si>
  <si>
    <t>Ex</t>
  </si>
  <si>
    <t>Ey</t>
  </si>
  <si>
    <t xml:space="preserve">∂_Xv/∂_c </t>
  </si>
  <si>
    <t xml:space="preserve">∂_Xv/∂_α </t>
  </si>
  <si>
    <t xml:space="preserve">∂_Xv/∂_Az </t>
  </si>
  <si>
    <t xml:space="preserve">∂_Xv/∂_β </t>
  </si>
  <si>
    <t xml:space="preserve">∂_Yv/∂_c </t>
  </si>
  <si>
    <t xml:space="preserve">∂_Yv/∂_Az </t>
  </si>
  <si>
    <t xml:space="preserve">∂_Yv/∂_α </t>
  </si>
  <si>
    <t xml:space="preserve">∂_Yv/∂_β </t>
  </si>
  <si>
    <t>εy</t>
  </si>
  <si>
    <t>εx</t>
  </si>
  <si>
    <t>dBC</t>
  </si>
  <si>
    <t>dCD</t>
  </si>
  <si>
    <t>dDE</t>
  </si>
  <si>
    <t>dEF</t>
  </si>
  <si>
    <t>D</t>
  </si>
  <si>
    <t>Az23=A12+ang(2)+/- 180°</t>
  </si>
  <si>
    <t>Poligonal</t>
  </si>
  <si>
    <t>ángulo para el acimut</t>
  </si>
  <si>
    <t>Yb</t>
  </si>
  <si>
    <t>Xd</t>
  </si>
  <si>
    <t>Yd</t>
  </si>
  <si>
    <t>Xe</t>
  </si>
  <si>
    <t>Ye</t>
  </si>
  <si>
    <t>Xf</t>
  </si>
  <si>
    <t>Yf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</si>
</sst>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Lato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4" xfId="0" applyFont="1" applyBorder="1"/>
    <xf numFmtId="164" fontId="2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3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164" fontId="0" fillId="0" borderId="17" xfId="0" applyNumberFormat="1" applyBorder="1"/>
    <xf numFmtId="0" fontId="2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0" fillId="0" borderId="8" xfId="0" applyNumberFormat="1" applyBorder="1"/>
    <xf numFmtId="164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6" sqref="D6:F6"/>
    </sheetView>
  </sheetViews>
  <sheetFormatPr baseColWidth="10" defaultRowHeight="15"/>
  <sheetData>
    <row r="1" spans="1:6">
      <c r="A1" s="5"/>
      <c r="B1" s="5" t="s">
        <v>1</v>
      </c>
      <c r="C1" s="5" t="s">
        <v>2</v>
      </c>
    </row>
    <row r="2" spans="1:6">
      <c r="A2" s="5" t="s">
        <v>0</v>
      </c>
      <c r="B2" s="5">
        <v>320.05</v>
      </c>
      <c r="C2" s="5">
        <v>508.32</v>
      </c>
    </row>
    <row r="3" spans="1:6">
      <c r="A3" s="5" t="s">
        <v>23</v>
      </c>
      <c r="B3" s="5">
        <v>2.54</v>
      </c>
      <c r="C3" s="5">
        <v>10.050000000000001</v>
      </c>
    </row>
    <row r="5" spans="1:6">
      <c r="A5" t="s">
        <v>75</v>
      </c>
      <c r="B5">
        <f>+ATAN((B3-B2)/(C3-C2))</f>
        <v>0.56734192277451545</v>
      </c>
      <c r="C5">
        <f>+B5*180/PI()</f>
        <v>32.506297715816814</v>
      </c>
      <c r="D5">
        <f>+INT(C5)</f>
        <v>32</v>
      </c>
      <c r="E5">
        <f>+INT((C5-D5)*60)</f>
        <v>30</v>
      </c>
      <c r="F5" s="9">
        <f>+((C5-D5)*60-E5)*60</f>
        <v>22.671776940529753</v>
      </c>
    </row>
    <row r="6" spans="1:6">
      <c r="A6" s="6" t="s">
        <v>76</v>
      </c>
      <c r="B6">
        <f>+B5+PI()</f>
        <v>3.7089345763643085</v>
      </c>
      <c r="C6">
        <f>+B6*180/PI()</f>
        <v>212.5062977158168</v>
      </c>
      <c r="D6" s="10">
        <f>+INT(C6)</f>
        <v>212</v>
      </c>
      <c r="E6" s="10">
        <f>+INT((C6-D6)*60)</f>
        <v>30</v>
      </c>
      <c r="F6" s="10">
        <f>+((C6-D6)*60-E6)*60</f>
        <v>22.671776940478594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22" sqref="F22"/>
    </sheetView>
  </sheetViews>
  <sheetFormatPr baseColWidth="10" defaultRowHeight="15"/>
  <cols>
    <col min="2" max="2" width="13.5703125" bestFit="1" customWidth="1"/>
    <col min="3" max="3" width="12.5703125" bestFit="1" customWidth="1"/>
  </cols>
  <sheetData>
    <row r="1" spans="1:7">
      <c r="A1" t="s">
        <v>3</v>
      </c>
      <c r="B1" t="s">
        <v>1</v>
      </c>
      <c r="C1" t="s">
        <v>2</v>
      </c>
      <c r="F1" t="s">
        <v>119</v>
      </c>
      <c r="G1" t="s">
        <v>120</v>
      </c>
    </row>
    <row r="2" spans="1:7">
      <c r="A2" t="s">
        <v>60</v>
      </c>
      <c r="B2">
        <v>600</v>
      </c>
      <c r="C2">
        <v>800</v>
      </c>
      <c r="F2">
        <v>103.78700000000001</v>
      </c>
      <c r="G2">
        <f>+(13+51/60+28/3600)*PI()/180</f>
        <v>0.2418638492319253</v>
      </c>
    </row>
    <row r="3" spans="1:7">
      <c r="A3">
        <v>1</v>
      </c>
      <c r="B3" s="3">
        <f>+$B$2+F2*SIN(G2)</f>
        <v>624.85829837139465</v>
      </c>
      <c r="C3" s="3">
        <f>+$C$2+F2*COS(G2)</f>
        <v>900.7660973298</v>
      </c>
      <c r="F3">
        <v>27.867999999999999</v>
      </c>
      <c r="G3">
        <f>+(63+7/60+29/3600)*PI()/180</f>
        <v>1.1017342421846095</v>
      </c>
    </row>
    <row r="4" spans="1:7">
      <c r="A4">
        <v>2</v>
      </c>
      <c r="B4" s="3">
        <f>+$B$2+F3*SIN(G3)</f>
        <v>624.85805158822495</v>
      </c>
      <c r="C4" s="3">
        <f>+$C$2+F3*COS(G3)</f>
        <v>812.59772579623586</v>
      </c>
      <c r="F4">
        <v>31.529</v>
      </c>
      <c r="G4">
        <f>+(293+33/60+5/3600)*PI()/180</f>
        <v>5.1234382599134092</v>
      </c>
    </row>
    <row r="5" spans="1:7">
      <c r="A5">
        <v>3</v>
      </c>
      <c r="B5" s="3">
        <f>+$B$2+F4*SIN(G4)</f>
        <v>571.09730057948968</v>
      </c>
      <c r="C5" s="3">
        <f>+$C$2+F4*COS(G4)</f>
        <v>812.59808744245049</v>
      </c>
      <c r="F5">
        <v>62.936999999999998</v>
      </c>
      <c r="G5">
        <f>+(328+23/60+34/3600)*PI()/180</f>
        <v>5.7315352119922904</v>
      </c>
    </row>
    <row r="6" spans="1:7">
      <c r="A6">
        <v>4</v>
      </c>
      <c r="B6" s="3">
        <f>+$B$2+F5*SIN(G5)</f>
        <v>567.0151422868538</v>
      </c>
      <c r="C6" s="3">
        <f>+$C$2+F5*COS(G5)</f>
        <v>853.60098068732975</v>
      </c>
      <c r="F6">
        <v>103.271</v>
      </c>
      <c r="G6">
        <f>+(349+30/60+47/3600)*PI()/180</f>
        <v>6.1001535981503041</v>
      </c>
    </row>
    <row r="7" spans="1:7">
      <c r="A7">
        <v>5</v>
      </c>
      <c r="B7" s="3">
        <f>+$B$2+F6*SIN(G6)</f>
        <v>581.20349307779213</v>
      </c>
      <c r="C7" s="3">
        <f>+$C$2+F6*COS(G6)</f>
        <v>901.54600321294481</v>
      </c>
    </row>
    <row r="10" spans="1:7">
      <c r="A10" t="s">
        <v>71</v>
      </c>
      <c r="B10" s="3">
        <f>+SQRT((B3-B4)^2+(C3-C4)^2)</f>
        <v>88.168371533909507</v>
      </c>
    </row>
    <row r="11" spans="1:7">
      <c r="A11" t="s">
        <v>73</v>
      </c>
      <c r="B11" s="3">
        <f>+SQRT((B4-B5)^2+(C4-C5)^2)</f>
        <v>53.760751009951655</v>
      </c>
    </row>
    <row r="12" spans="1:7">
      <c r="A12" t="s">
        <v>121</v>
      </c>
      <c r="B12" s="3">
        <f>+SQRT((B5-B6)^2+(C5-C6)^2)</f>
        <v>41.205597566072271</v>
      </c>
    </row>
    <row r="13" spans="1:7">
      <c r="A13" t="s">
        <v>122</v>
      </c>
      <c r="B13" s="3">
        <f>+SQRT((B6-B7)^2+(C6-C7)^2)</f>
        <v>50.000344830295482</v>
      </c>
    </row>
    <row r="14" spans="1:7">
      <c r="A14" t="s">
        <v>123</v>
      </c>
      <c r="B14" s="3">
        <f>+SQRT((B7-B3)^2+(C7-C3)^2)</f>
        <v>43.661771361328327</v>
      </c>
    </row>
    <row r="18" spans="2:6">
      <c r="B18" s="3">
        <f>+B3</f>
        <v>624.85829837139465</v>
      </c>
      <c r="C18" s="3">
        <f>+C3</f>
        <v>900.7660973298</v>
      </c>
      <c r="E18" t="s">
        <v>0</v>
      </c>
      <c r="F18">
        <f>+(B18*C19+B19*C20+B20*C21+B21*C22+B22*C23)</f>
        <v>2537724.7431917107</v>
      </c>
    </row>
    <row r="19" spans="2:6">
      <c r="B19" s="3">
        <f t="shared" ref="B19:C22" si="0">+B4</f>
        <v>624.85805158822495</v>
      </c>
      <c r="C19" s="3">
        <f t="shared" si="0"/>
        <v>812.59772579623586</v>
      </c>
      <c r="F19">
        <f>+C18*B19+C19*B20+C20*B21+C21*B22+C22*B23</f>
        <v>2547133.109487975</v>
      </c>
    </row>
    <row r="20" spans="2:6">
      <c r="B20" s="3">
        <f t="shared" si="0"/>
        <v>571.09730057948968</v>
      </c>
      <c r="C20" s="3">
        <f t="shared" si="0"/>
        <v>812.59808744245049</v>
      </c>
      <c r="F20">
        <f>+F18-F19</f>
        <v>-9408.366296264343</v>
      </c>
    </row>
    <row r="21" spans="2:6">
      <c r="B21" s="3">
        <f t="shared" si="0"/>
        <v>567.0151422868538</v>
      </c>
      <c r="C21" s="3">
        <f t="shared" si="0"/>
        <v>853.60098068732975</v>
      </c>
      <c r="F21" s="3">
        <f>+F20/2</f>
        <v>-4704.1831481321715</v>
      </c>
    </row>
    <row r="22" spans="2:6">
      <c r="B22" s="3">
        <f t="shared" si="0"/>
        <v>581.20349307779213</v>
      </c>
      <c r="C22" s="3">
        <f t="shared" si="0"/>
        <v>901.54600321294481</v>
      </c>
      <c r="F22" s="3">
        <f>+ABS(F21)</f>
        <v>4704.1831481321715</v>
      </c>
    </row>
    <row r="23" spans="2:6">
      <c r="B23" s="3">
        <f>+B3</f>
        <v>624.85829837139465</v>
      </c>
      <c r="C23" s="3">
        <f>+C3</f>
        <v>900.7660973298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opLeftCell="A44" workbookViewId="0">
      <selection activeCell="P58" sqref="P58"/>
    </sheetView>
  </sheetViews>
  <sheetFormatPr baseColWidth="10" defaultRowHeight="15"/>
  <cols>
    <col min="11" max="11" width="12.5703125" bestFit="1" customWidth="1"/>
    <col min="14" max="14" width="12" bestFit="1" customWidth="1"/>
  </cols>
  <sheetData>
    <row r="1" spans="1:9">
      <c r="A1" s="17"/>
      <c r="B1" s="18"/>
      <c r="C1" s="18"/>
      <c r="D1" s="19"/>
    </row>
    <row r="2" spans="1:9">
      <c r="A2" s="20" t="s">
        <v>124</v>
      </c>
      <c r="B2" s="21">
        <v>50</v>
      </c>
      <c r="C2" s="21"/>
      <c r="D2" s="22"/>
    </row>
    <row r="3" spans="1:9">
      <c r="A3" s="20"/>
      <c r="B3" s="21"/>
      <c r="C3" s="21"/>
      <c r="D3" s="22"/>
    </row>
    <row r="4" spans="1:9">
      <c r="A4" s="36" t="s">
        <v>125</v>
      </c>
      <c r="B4" s="5" t="s">
        <v>0</v>
      </c>
      <c r="C4" s="5" t="s">
        <v>23</v>
      </c>
      <c r="D4" s="22"/>
    </row>
    <row r="5" spans="1:9">
      <c r="A5" s="36">
        <v>1</v>
      </c>
      <c r="B5" s="5">
        <f>+(21+48/60+5/3600)*PI()/180</f>
        <v>0.38050601761881936</v>
      </c>
      <c r="C5" s="5">
        <f>+(21+48/60+5/3600)*PI()/180</f>
        <v>0.38050601761881936</v>
      </c>
      <c r="D5" s="22"/>
    </row>
    <row r="6" spans="1:9">
      <c r="A6" s="36">
        <v>2</v>
      </c>
      <c r="B6" s="5">
        <f>+(63+26/60+6/3600)*PI()/180</f>
        <v>1.1071496110026027</v>
      </c>
      <c r="C6" s="5">
        <f>+(63+26/60+6/3600)*PI()/180</f>
        <v>1.1071496110026027</v>
      </c>
      <c r="D6" s="22"/>
    </row>
    <row r="7" spans="1:9" ht="15.75" thickBot="1">
      <c r="A7" s="37">
        <v>3</v>
      </c>
      <c r="B7" s="38">
        <f>+(75+57/60+50/3600)*PI()/180</f>
        <v>1.3258199737302481</v>
      </c>
      <c r="C7" s="38">
        <f>+(75+57/60+50/3600)*PI()/180</f>
        <v>1.3258199737302481</v>
      </c>
      <c r="D7" s="27"/>
    </row>
    <row r="8" spans="1:9" ht="15.75" thickBot="1"/>
    <row r="9" spans="1:9" ht="15.75" thickBot="1">
      <c r="A9" s="35" t="s">
        <v>126</v>
      </c>
      <c r="B9" s="28" t="s">
        <v>127</v>
      </c>
      <c r="C9" s="28"/>
      <c r="D9" s="28"/>
      <c r="E9" s="28"/>
      <c r="F9" s="28"/>
      <c r="G9" s="28"/>
      <c r="H9" s="28"/>
      <c r="I9" s="29"/>
    </row>
    <row r="10" spans="1:9">
      <c r="A10" s="20"/>
      <c r="B10" s="21"/>
      <c r="C10" s="21"/>
      <c r="D10" s="21"/>
      <c r="E10" s="21"/>
      <c r="F10" s="21"/>
      <c r="G10" s="21"/>
      <c r="H10" s="21"/>
      <c r="I10" s="22"/>
    </row>
    <row r="11" spans="1:9">
      <c r="A11" s="20" t="s">
        <v>130</v>
      </c>
      <c r="B11" s="21" t="s">
        <v>129</v>
      </c>
      <c r="C11" s="21"/>
      <c r="D11" s="21"/>
      <c r="E11" s="21"/>
      <c r="F11" s="21"/>
      <c r="G11" s="21"/>
      <c r="H11" s="21"/>
      <c r="I11" s="22"/>
    </row>
    <row r="12" spans="1:9">
      <c r="A12" s="20">
        <v>1</v>
      </c>
      <c r="B12" s="21">
        <f>180*PI()/180-B5-C5</f>
        <v>2.3805806183521545</v>
      </c>
      <c r="C12" s="21"/>
      <c r="D12" s="21"/>
      <c r="E12" s="21"/>
      <c r="F12" s="21"/>
      <c r="G12" s="21"/>
      <c r="H12" s="21"/>
      <c r="I12" s="22"/>
    </row>
    <row r="13" spans="1:9">
      <c r="A13" s="20">
        <v>2</v>
      </c>
      <c r="B13" s="21">
        <f>180*PI()/180-B6-C6</f>
        <v>0.92729343158458755</v>
      </c>
      <c r="C13" s="21"/>
      <c r="D13" s="21"/>
      <c r="E13" s="21"/>
      <c r="F13" s="21"/>
      <c r="G13" s="21"/>
      <c r="H13" s="21"/>
      <c r="I13" s="22"/>
    </row>
    <row r="14" spans="1:9">
      <c r="A14" s="20">
        <v>3</v>
      </c>
      <c r="B14" s="21">
        <f>180*PI()/180-B7-C7</f>
        <v>0.48995270612929698</v>
      </c>
      <c r="C14" s="21"/>
      <c r="D14" s="21"/>
      <c r="E14" s="21"/>
      <c r="F14" s="21"/>
      <c r="G14" s="21"/>
      <c r="H14" s="21"/>
      <c r="I14" s="22"/>
    </row>
    <row r="15" spans="1:9">
      <c r="A15" s="20"/>
      <c r="B15" s="21"/>
      <c r="C15" s="12"/>
      <c r="D15" s="12" t="s">
        <v>131</v>
      </c>
      <c r="E15" s="21"/>
      <c r="F15" s="21"/>
      <c r="G15" s="21"/>
      <c r="H15" s="21"/>
      <c r="I15" s="22"/>
    </row>
    <row r="16" spans="1:9">
      <c r="A16" s="20" t="s">
        <v>128</v>
      </c>
      <c r="B16" s="21"/>
      <c r="C16" s="12">
        <v>1</v>
      </c>
      <c r="D16" s="13">
        <f>+SIN(B5)*$B$2/SIN(B12)</f>
        <v>26.925820163810837</v>
      </c>
      <c r="E16" s="21"/>
      <c r="F16" s="21"/>
      <c r="G16" s="21"/>
      <c r="H16" s="21"/>
      <c r="I16" s="22"/>
    </row>
    <row r="17" spans="1:9">
      <c r="A17" s="20"/>
      <c r="B17" s="21"/>
      <c r="C17" s="12">
        <v>2</v>
      </c>
      <c r="D17" s="13">
        <f>+SIN(B6)*$B$2/SIN(B13)</f>
        <v>55.90179930144302</v>
      </c>
      <c r="E17" s="21"/>
      <c r="F17" s="21"/>
      <c r="G17" s="21"/>
      <c r="H17" s="21"/>
      <c r="I17" s="22"/>
    </row>
    <row r="18" spans="1:9">
      <c r="A18" s="20"/>
      <c r="B18" s="21"/>
      <c r="C18" s="12">
        <v>3</v>
      </c>
      <c r="D18" s="13">
        <f>+SIN(B7)*$B$2/SIN(B14)</f>
        <v>103.07859311256931</v>
      </c>
      <c r="E18" s="21"/>
      <c r="F18" s="21"/>
      <c r="G18" s="21"/>
      <c r="H18" s="21"/>
      <c r="I18" s="22"/>
    </row>
    <row r="19" spans="1:9">
      <c r="A19" s="20"/>
      <c r="B19" s="21"/>
      <c r="C19" s="21"/>
      <c r="D19" s="21"/>
      <c r="E19" s="21"/>
      <c r="F19" s="21"/>
      <c r="G19" s="21"/>
      <c r="H19" s="21"/>
      <c r="I19" s="22"/>
    </row>
    <row r="20" spans="1:9">
      <c r="A20" s="20" t="s">
        <v>132</v>
      </c>
      <c r="B20" s="21"/>
      <c r="C20" s="12"/>
      <c r="D20" s="12" t="s">
        <v>133</v>
      </c>
      <c r="E20" s="21"/>
      <c r="F20" s="21"/>
      <c r="G20" s="21"/>
      <c r="H20" s="21"/>
      <c r="I20" s="22"/>
    </row>
    <row r="21" spans="1:9">
      <c r="A21" s="20"/>
      <c r="B21" s="21"/>
      <c r="C21" s="12">
        <v>1</v>
      </c>
      <c r="D21" s="13">
        <f>+SQRT(D16^2-($B$2/2)^2)</f>
        <v>9.9999895746886747</v>
      </c>
      <c r="E21" s="21"/>
      <c r="F21" s="21"/>
      <c r="G21" s="21"/>
      <c r="H21" s="21"/>
      <c r="I21" s="22"/>
    </row>
    <row r="22" spans="1:9">
      <c r="A22" s="20"/>
      <c r="B22" s="21"/>
      <c r="C22" s="12">
        <v>2</v>
      </c>
      <c r="D22" s="13">
        <f>+SQRT(D17^2-($B$2/2)^2)</f>
        <v>50.000111651263488</v>
      </c>
      <c r="E22" s="21"/>
      <c r="F22" s="21"/>
      <c r="G22" s="21"/>
      <c r="H22" s="21"/>
      <c r="I22" s="22"/>
    </row>
    <row r="23" spans="1:9" ht="15.75" thickBot="1">
      <c r="A23" s="25"/>
      <c r="B23" s="26"/>
      <c r="C23" s="33">
        <v>3</v>
      </c>
      <c r="D23" s="34">
        <f>+SQRT(D18^2-($B$2/2)^2)</f>
        <v>100.00098178551359</v>
      </c>
      <c r="E23" s="26"/>
      <c r="F23" s="26"/>
      <c r="G23" s="26"/>
      <c r="H23" s="26"/>
      <c r="I23" s="27"/>
    </row>
    <row r="24" spans="1:9" ht="15.75" thickBot="1"/>
    <row r="25" spans="1:9" ht="15.75" thickBot="1">
      <c r="A25" s="30" t="s">
        <v>134</v>
      </c>
      <c r="B25" s="31"/>
      <c r="C25" s="31"/>
      <c r="D25" s="31"/>
      <c r="E25" s="31"/>
      <c r="F25" s="31"/>
      <c r="G25" s="32"/>
    </row>
    <row r="26" spans="1:9">
      <c r="A26" s="20"/>
      <c r="B26" s="21"/>
      <c r="C26" s="21"/>
      <c r="D26" s="21"/>
      <c r="E26" s="21"/>
      <c r="F26" s="21"/>
      <c r="G26" s="22"/>
    </row>
    <row r="27" spans="1:9">
      <c r="A27" s="20" t="s">
        <v>135</v>
      </c>
      <c r="B27" s="21">
        <v>0</v>
      </c>
      <c r="C27" s="21"/>
      <c r="D27" s="21"/>
      <c r="E27" s="21"/>
      <c r="F27" s="21"/>
      <c r="G27" s="22"/>
    </row>
    <row r="28" spans="1:9">
      <c r="A28" s="20" t="s">
        <v>136</v>
      </c>
      <c r="B28" s="21">
        <v>0</v>
      </c>
      <c r="C28" s="21"/>
      <c r="D28" s="21"/>
      <c r="E28" s="21"/>
      <c r="F28" s="21"/>
      <c r="G28" s="22"/>
    </row>
    <row r="29" spans="1:9">
      <c r="A29" s="20" t="s">
        <v>137</v>
      </c>
      <c r="B29" s="21">
        <f>90*PI()/180</f>
        <v>1.5707963267948966</v>
      </c>
      <c r="C29" s="21"/>
      <c r="D29" s="21"/>
      <c r="E29" s="21"/>
      <c r="F29" s="21"/>
      <c r="G29" s="22"/>
    </row>
    <row r="30" spans="1:9">
      <c r="A30" s="20"/>
      <c r="B30" s="21"/>
      <c r="C30" s="21"/>
      <c r="D30" s="5" t="s">
        <v>3</v>
      </c>
      <c r="E30" s="5" t="s">
        <v>142</v>
      </c>
      <c r="F30" s="5" t="s">
        <v>141</v>
      </c>
      <c r="G30" s="22"/>
    </row>
    <row r="31" spans="1:9">
      <c r="A31" s="20" t="s">
        <v>138</v>
      </c>
      <c r="B31" s="21">
        <f>+$B$29-B5</f>
        <v>1.1902903091760773</v>
      </c>
      <c r="C31" s="21"/>
      <c r="D31" s="5">
        <v>1</v>
      </c>
      <c r="E31" s="14">
        <f>+$B$27+D16*SIN(B31)</f>
        <v>25</v>
      </c>
      <c r="F31" s="14">
        <f>+$B$28+D16*COS(B31)</f>
        <v>9.99998957468868</v>
      </c>
      <c r="G31" s="22"/>
    </row>
    <row r="32" spans="1:9">
      <c r="A32" s="20" t="s">
        <v>139</v>
      </c>
      <c r="B32" s="21">
        <f>+$B$29-B6</f>
        <v>0.46364671579229388</v>
      </c>
      <c r="C32" s="21"/>
      <c r="D32" s="5">
        <v>2</v>
      </c>
      <c r="E32" s="14">
        <f>+$B$27+D17*SIN(B32)</f>
        <v>25.000000000000004</v>
      </c>
      <c r="F32" s="14">
        <f>+$B$28+D17*COS(B32)</f>
        <v>50.000111651263488</v>
      </c>
      <c r="G32" s="22"/>
    </row>
    <row r="33" spans="1:14">
      <c r="A33" s="20" t="s">
        <v>140</v>
      </c>
      <c r="B33" s="21">
        <f>+$B$29-B7</f>
        <v>0.24497635306464849</v>
      </c>
      <c r="C33" s="21"/>
      <c r="D33" s="5">
        <v>3</v>
      </c>
      <c r="E33" s="14">
        <f>+$B$27+D18*SIN(B33)</f>
        <v>24.999999999999996</v>
      </c>
      <c r="F33" s="14">
        <f>+$B$28+D18*COS(B33)</f>
        <v>100.0009817855136</v>
      </c>
      <c r="G33" s="22"/>
    </row>
    <row r="34" spans="1:14">
      <c r="A34" s="20"/>
      <c r="B34" s="21"/>
      <c r="C34" s="21"/>
      <c r="D34" s="5" t="s">
        <v>23</v>
      </c>
      <c r="E34" s="14">
        <f>+$B$27+B2*SIN(B29)</f>
        <v>50</v>
      </c>
      <c r="F34" s="14">
        <f>+$B$28+B2*COS(B29)</f>
        <v>3.06287113727155E-15</v>
      </c>
      <c r="G34" s="22"/>
    </row>
    <row r="35" spans="1:14" ht="15.75" thickBot="1">
      <c r="A35" s="25"/>
      <c r="B35" s="26"/>
      <c r="C35" s="26"/>
      <c r="D35" s="26"/>
      <c r="E35" s="26"/>
      <c r="F35" s="26"/>
      <c r="G35" s="27"/>
    </row>
    <row r="36" spans="1:14" ht="15.75" thickBot="1"/>
    <row r="37" spans="1:14" ht="15.75" thickBot="1">
      <c r="A37" s="30" t="s">
        <v>144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</row>
    <row r="38" spans="1:1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</row>
    <row r="39" spans="1:14">
      <c r="A39" s="20" t="s">
        <v>125</v>
      </c>
      <c r="B39" s="21" t="s">
        <v>0</v>
      </c>
      <c r="C39" s="21" t="s">
        <v>23</v>
      </c>
      <c r="D39" s="21"/>
      <c r="E39" s="21"/>
      <c r="F39" s="21"/>
      <c r="G39" s="21"/>
      <c r="H39" s="21" t="s">
        <v>79</v>
      </c>
      <c r="I39" s="21"/>
      <c r="J39" s="21"/>
      <c r="K39" s="21"/>
      <c r="L39" s="21"/>
      <c r="M39" s="21"/>
      <c r="N39" s="22"/>
    </row>
    <row r="40" spans="1:14">
      <c r="A40" s="20">
        <v>1</v>
      </c>
      <c r="B40" s="21">
        <f>+(21+48/60+5/3600)*PI()/180</f>
        <v>0.38050601761881936</v>
      </c>
      <c r="C40" s="21">
        <f>+(21+48/60+5/3600)*PI()/180</f>
        <v>0.38050601761881936</v>
      </c>
      <c r="D40" s="21"/>
      <c r="E40" s="21" t="s">
        <v>138</v>
      </c>
      <c r="F40" s="21">
        <f>+$B$29-B5</f>
        <v>1.1902903091760773</v>
      </c>
      <c r="G40" s="21"/>
      <c r="H40" s="21">
        <v>50</v>
      </c>
      <c r="I40" s="21"/>
      <c r="J40" s="21"/>
      <c r="K40" s="21"/>
      <c r="L40" s="21"/>
      <c r="M40" s="21"/>
      <c r="N40" s="22"/>
    </row>
    <row r="41" spans="1:14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>
      <c r="A43" s="20" t="s">
        <v>143</v>
      </c>
      <c r="B43" s="21"/>
      <c r="C43" s="21"/>
      <c r="D43" s="21" t="s">
        <v>145</v>
      </c>
      <c r="E43" s="21"/>
      <c r="F43" s="21"/>
      <c r="G43" s="21"/>
      <c r="H43" s="21"/>
      <c r="I43" s="21"/>
      <c r="J43" s="21"/>
      <c r="K43" s="21">
        <f>+(7/3600)*PI()/180</f>
        <v>3.3936957677667516E-5</v>
      </c>
      <c r="L43" s="21"/>
      <c r="M43" s="21"/>
      <c r="N43" s="22">
        <f>+(7/3600)*PI()/180</f>
        <v>3.3936957677667516E-5</v>
      </c>
    </row>
    <row r="44" spans="1:14">
      <c r="A44" s="20">
        <v>1</v>
      </c>
      <c r="B44" s="21"/>
      <c r="C44" s="21"/>
      <c r="D44" s="21">
        <v>1</v>
      </c>
      <c r="E44" s="21"/>
      <c r="F44" s="21"/>
      <c r="G44" s="21"/>
      <c r="H44" s="21"/>
      <c r="I44" s="21"/>
      <c r="J44" s="21"/>
      <c r="K44" s="21">
        <f>2/1000</f>
        <v>2E-3</v>
      </c>
      <c r="L44" s="21"/>
      <c r="M44" s="21"/>
      <c r="N44" s="22">
        <f>2/1000</f>
        <v>2E-3</v>
      </c>
    </row>
    <row r="45" spans="1:14">
      <c r="A45" s="23" t="s">
        <v>148</v>
      </c>
      <c r="B45" s="21">
        <f>+SIN(C40)*SIN(F40)/SIN(B40+C40)</f>
        <v>0.50000000000000011</v>
      </c>
      <c r="C45" s="21"/>
      <c r="D45" s="24" t="s">
        <v>152</v>
      </c>
      <c r="E45" s="21">
        <f>+SIN(C40)*COS(F40)/SIN(B40+C40)</f>
        <v>0.19999979149377359</v>
      </c>
      <c r="F45" s="21"/>
      <c r="G45" s="21"/>
      <c r="H45" s="21"/>
      <c r="I45" s="21"/>
      <c r="J45" s="21">
        <f>+B45^2</f>
        <v>0.25000000000000011</v>
      </c>
      <c r="K45" s="21">
        <f>+J45*K44^2</f>
        <v>1.0000000000000004E-6</v>
      </c>
      <c r="L45" s="21"/>
      <c r="M45" s="21">
        <f>+E45^2</f>
        <v>3.9999916597552913E-2</v>
      </c>
      <c r="N45" s="22">
        <f>+M45*N44^2</f>
        <v>1.5999966639021165E-7</v>
      </c>
    </row>
    <row r="46" spans="1:14">
      <c r="A46" s="23" t="s">
        <v>150</v>
      </c>
      <c r="B46" s="21">
        <f>+H40*SIN(C40)*COS(F40)/SIN(B40+C40)</f>
        <v>9.99998957468868</v>
      </c>
      <c r="C46" s="21"/>
      <c r="D46" s="24" t="s">
        <v>153</v>
      </c>
      <c r="E46" s="21">
        <f>-H40*SIN(C40)*SIN(F40)/SIN(B40+C40)</f>
        <v>-25.000000000000004</v>
      </c>
      <c r="F46" s="21"/>
      <c r="G46" s="21"/>
      <c r="H46" s="21"/>
      <c r="I46" s="21"/>
      <c r="J46" s="21">
        <f>+B46^2</f>
        <v>99.999791493882284</v>
      </c>
      <c r="K46" s="21">
        <f>+J46*$K$43^2</f>
        <v>1.1517146950151913E-7</v>
      </c>
      <c r="L46" s="21"/>
      <c r="M46" s="21">
        <f t="shared" ref="M46:M74" si="0">+E46^2</f>
        <v>625.00000000000023</v>
      </c>
      <c r="N46" s="22">
        <f>+M46*$N$43^2</f>
        <v>7.1982318525987289E-7</v>
      </c>
    </row>
    <row r="47" spans="1:14">
      <c r="A47" s="23" t="s">
        <v>149</v>
      </c>
      <c r="B47" s="21">
        <f>-((H40*SIN(C40)*(COS(B40-$B$29)*SIN(B40+C40)+SIN(B40-$B$29)*COS(B40+C40)))/(SIN(B40+C40)^2))</f>
        <v>16.250048217098829</v>
      </c>
      <c r="C47" s="21"/>
      <c r="D47" s="24" t="s">
        <v>154</v>
      </c>
      <c r="E47" s="21">
        <f>+-(H40*SIN(C40)*(SIN(B40+C40)*SIN(B40-$B$29)+COS(B40-$B$29)*COS(B40+C40)))/(SIN(B40+C40)^2)</f>
        <v>14.499995829877646</v>
      </c>
      <c r="F47" s="21"/>
      <c r="G47" s="21"/>
      <c r="H47" s="21"/>
      <c r="I47" s="21"/>
      <c r="J47" s="21">
        <f>+B47^2</f>
        <v>264.06406705803681</v>
      </c>
      <c r="K47" s="21">
        <f>+J47*$K$43^2</f>
        <v>3.0412710057982822E-7</v>
      </c>
      <c r="L47" s="21"/>
      <c r="M47" s="21">
        <f t="shared" si="0"/>
        <v>210.24987906646913</v>
      </c>
      <c r="N47" s="22">
        <f>+M47*$N$43^2</f>
        <v>2.4214838024020614E-7</v>
      </c>
    </row>
    <row r="48" spans="1:14">
      <c r="A48" s="23" t="s">
        <v>151</v>
      </c>
      <c r="B48" s="21">
        <f>+(H40*SIN(C40)*(COS(F40)*SIN(B40+C40)-SIN(F40)*COS(B40+C40)))/(SIN(B40+C40)^2)</f>
        <v>-16.250048217098829</v>
      </c>
      <c r="C48" s="21"/>
      <c r="D48" s="24" t="s">
        <v>155</v>
      </c>
      <c r="E48" s="21">
        <f>+(H40*COS(F40)*(COS(C40)*SIN(B40+C40)-SIN(C40)*COS(B40+C40)))/(SIN(B40+C40)^2)</f>
        <v>14.499995829877646</v>
      </c>
      <c r="F48" s="21"/>
      <c r="G48" s="21"/>
      <c r="H48" s="21"/>
      <c r="I48" s="21"/>
      <c r="J48" s="21">
        <f>+B48^2</f>
        <v>264.06406705803681</v>
      </c>
      <c r="K48" s="21">
        <f>+J48*$K$43^2</f>
        <v>3.0412710057982822E-7</v>
      </c>
      <c r="L48" s="21"/>
      <c r="M48" s="21">
        <f t="shared" si="0"/>
        <v>210.24987906646913</v>
      </c>
      <c r="N48" s="22">
        <f>+M48*$N$43^2</f>
        <v>2.4214838024020614E-7</v>
      </c>
    </row>
    <row r="49" spans="1:19" ht="15.75" thickBot="1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9" ht="15.75" thickBot="1">
      <c r="A50" s="20"/>
      <c r="B50" s="21"/>
      <c r="C50" s="21"/>
      <c r="D50" s="21"/>
      <c r="E50" s="21"/>
      <c r="F50" s="21"/>
      <c r="G50" s="21"/>
      <c r="H50" s="21"/>
      <c r="I50" s="21"/>
      <c r="J50" s="15" t="s">
        <v>146</v>
      </c>
      <c r="K50" s="16">
        <f>+SQRT(K45+K46+K47+K48)</f>
        <v>1.3127930799106064E-3</v>
      </c>
      <c r="L50" s="21"/>
      <c r="M50" s="15" t="s">
        <v>147</v>
      </c>
      <c r="N50" s="16">
        <f>+SQRT(N45+N46+N47+N48)</f>
        <v>1.1679553125571616E-3</v>
      </c>
      <c r="Q50" s="39"/>
      <c r="R50" s="44" t="s">
        <v>157</v>
      </c>
      <c r="S50" s="45" t="s">
        <v>156</v>
      </c>
    </row>
    <row r="51" spans="1:19" ht="15.75" thickBo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7"/>
      <c r="Q51" s="46">
        <v>1</v>
      </c>
      <c r="R51" s="40">
        <f>+K50</f>
        <v>1.3127930799106064E-3</v>
      </c>
      <c r="S51" s="41">
        <f>+N50</f>
        <v>1.1679553125571616E-3</v>
      </c>
    </row>
    <row r="52" spans="1:19">
      <c r="A52" s="17" t="s">
        <v>125</v>
      </c>
      <c r="B52" s="18" t="s">
        <v>0</v>
      </c>
      <c r="C52" s="18" t="s">
        <v>23</v>
      </c>
      <c r="D52" s="18"/>
      <c r="E52" s="18"/>
      <c r="F52" s="18"/>
      <c r="G52" s="18"/>
      <c r="H52" s="18" t="s">
        <v>79</v>
      </c>
      <c r="I52" s="18"/>
      <c r="J52" s="18"/>
      <c r="K52" s="18"/>
      <c r="L52" s="18"/>
      <c r="M52" s="18"/>
      <c r="N52" s="19"/>
      <c r="Q52" s="46">
        <v>2</v>
      </c>
      <c r="R52" s="40">
        <f>+K63</f>
        <v>3.8427449487570043E-3</v>
      </c>
      <c r="S52" s="41">
        <f>+N63</f>
        <v>3.7037406983685454E-3</v>
      </c>
    </row>
    <row r="53" spans="1:19" ht="15.75" thickBot="1">
      <c r="A53" s="20">
        <v>2</v>
      </c>
      <c r="B53" s="21">
        <f>+(63+26/60+6/3600)*PI()/180</f>
        <v>1.1071496110026027</v>
      </c>
      <c r="C53" s="21">
        <f>+(63+26/60+6/3600)*PI()/180</f>
        <v>1.1071496110026027</v>
      </c>
      <c r="D53" s="21"/>
      <c r="E53" s="21" t="s">
        <v>139</v>
      </c>
      <c r="F53" s="21">
        <f>+$B$29-B6</f>
        <v>0.46364671579229388</v>
      </c>
      <c r="G53" s="21"/>
      <c r="H53" s="21">
        <v>50</v>
      </c>
      <c r="I53" s="21"/>
      <c r="J53" s="21"/>
      <c r="K53" s="21"/>
      <c r="L53" s="21"/>
      <c r="M53" s="21"/>
      <c r="N53" s="22"/>
      <c r="Q53" s="47">
        <v>3</v>
      </c>
      <c r="R53" s="42">
        <f>+K76</f>
        <v>7.8872497487478422E-3</v>
      </c>
      <c r="S53" s="43">
        <f>+N76</f>
        <v>1.0988104121993147E-2</v>
      </c>
    </row>
    <row r="54" spans="1:19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2"/>
    </row>
    <row r="55" spans="1:19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2"/>
    </row>
    <row r="56" spans="1:19">
      <c r="A56" s="20" t="s">
        <v>143</v>
      </c>
      <c r="B56" s="21"/>
      <c r="C56" s="21"/>
      <c r="D56" s="21"/>
      <c r="E56" s="21"/>
      <c r="F56" s="21"/>
      <c r="G56" s="21"/>
      <c r="H56" s="21"/>
      <c r="I56" s="21"/>
      <c r="J56" s="21"/>
      <c r="K56" s="21">
        <f>+(7/3600)*PI()/180</f>
        <v>3.3936957677667516E-5</v>
      </c>
      <c r="L56" s="21"/>
      <c r="M56" s="21"/>
      <c r="N56" s="22">
        <f>+(7/3600)*PI()/180</f>
        <v>3.3936957677667516E-5</v>
      </c>
    </row>
    <row r="57" spans="1:19">
      <c r="A57" s="20">
        <v>2</v>
      </c>
      <c r="B57" s="21"/>
      <c r="C57" s="21"/>
      <c r="D57" s="21"/>
      <c r="E57" s="21"/>
      <c r="F57" s="21"/>
      <c r="G57" s="21"/>
      <c r="H57" s="21"/>
      <c r="I57" s="21"/>
      <c r="J57" s="21"/>
      <c r="K57" s="21">
        <f>2/1000</f>
        <v>2E-3</v>
      </c>
      <c r="L57" s="21"/>
      <c r="M57" s="21"/>
      <c r="N57" s="22">
        <f>2/1000</f>
        <v>2E-3</v>
      </c>
    </row>
    <row r="58" spans="1:19">
      <c r="A58" s="23" t="s">
        <v>148</v>
      </c>
      <c r="B58" s="21">
        <f>+SIN(C53)*SIN(F53)/SIN(B53+C53)</f>
        <v>0.49999999999999983</v>
      </c>
      <c r="C58" s="21"/>
      <c r="D58" s="24" t="s">
        <v>152</v>
      </c>
      <c r="E58" s="21">
        <f>+SIN(C53)*COS(F53)/SIN(B53+C53)</f>
        <v>1.0000022330252696</v>
      </c>
      <c r="F58" s="21"/>
      <c r="G58" s="21"/>
      <c r="H58" s="21"/>
      <c r="I58" s="21"/>
      <c r="J58" s="21">
        <f>+B58^2</f>
        <v>0.24999999999999983</v>
      </c>
      <c r="K58" s="21">
        <f>+J58*K57^2</f>
        <v>9.9999999999999932E-7</v>
      </c>
      <c r="L58" s="21"/>
      <c r="M58" s="21">
        <f t="shared" si="0"/>
        <v>1.0000044660555256</v>
      </c>
      <c r="N58" s="22">
        <f>+M58*N57^2</f>
        <v>4.0000178642221024E-6</v>
      </c>
    </row>
    <row r="59" spans="1:19">
      <c r="A59" s="23" t="s">
        <v>150</v>
      </c>
      <c r="B59" s="21">
        <f>+H53*SIN(C53)*COS(F53)/SIN(B53+C53)</f>
        <v>50.000111651263474</v>
      </c>
      <c r="C59" s="21"/>
      <c r="D59" s="24" t="s">
        <v>153</v>
      </c>
      <c r="E59" s="21">
        <f>-H53*SIN(C53)*SIN(F53)/SIN(B53+C53)</f>
        <v>-24.999999999999996</v>
      </c>
      <c r="F59" s="21"/>
      <c r="G59" s="21"/>
      <c r="H59" s="21"/>
      <c r="I59" s="21"/>
      <c r="J59" s="21">
        <f>+B59^2</f>
        <v>2500.0111651388133</v>
      </c>
      <c r="K59" s="21">
        <f>+J59*$K$56^2</f>
        <v>2.8793056001207455E-6</v>
      </c>
      <c r="L59" s="21"/>
      <c r="M59" s="21">
        <f t="shared" si="0"/>
        <v>624.99999999999977</v>
      </c>
      <c r="N59" s="22">
        <f>+M59*$N$43^2</f>
        <v>7.1982318525987236E-7</v>
      </c>
    </row>
    <row r="60" spans="1:19">
      <c r="A60" s="23" t="s">
        <v>149</v>
      </c>
      <c r="B60" s="21">
        <f>-((H53*SIN(C53)*(COS(B53-$B$29)*SIN(B53+C53)+SIN(B53-$B$29)*COS(B53+C53)))/(SIN(B53+C53)^2))</f>
        <v>-68.750181433271976</v>
      </c>
      <c r="C60" s="21"/>
      <c r="D60" s="24" t="s">
        <v>154</v>
      </c>
      <c r="E60" s="21">
        <f>+-(H53*SIN(C53)*(SIN(B53+C53)*SIN(B53-$B$29)+COS(B53-$B$29)*COS(B53+C53)))/(SIN(B53+C53)^2)</f>
        <v>62.500223302776277</v>
      </c>
      <c r="F60" s="21"/>
      <c r="G60" s="21"/>
      <c r="H60" s="21"/>
      <c r="I60" s="21"/>
      <c r="J60" s="21">
        <f>+B60^2</f>
        <v>4726.587447107815</v>
      </c>
      <c r="K60" s="21">
        <f>+J60*$K$56^2</f>
        <v>5.4436915705383629E-6</v>
      </c>
      <c r="L60" s="21"/>
      <c r="M60" s="21">
        <f t="shared" si="0"/>
        <v>3906.2779128968987</v>
      </c>
      <c r="N60" s="22">
        <f>+M60*$N$43^2</f>
        <v>4.4989270556347722E-6</v>
      </c>
    </row>
    <row r="61" spans="1:19">
      <c r="A61" s="23" t="s">
        <v>151</v>
      </c>
      <c r="B61" s="21">
        <f>+(H53*SIN(C53)*(COS(F53)*SIN(B53+C53)-SIN(F53)*COS(B53+C53)))/(SIN(B53+C53)^2)</f>
        <v>68.750181433271976</v>
      </c>
      <c r="C61" s="21"/>
      <c r="D61" s="24" t="s">
        <v>155</v>
      </c>
      <c r="E61" s="21">
        <f>+(H53*COS(F53)*(COS(C53)*SIN(B53+C53)-SIN(C53)*COS(B53+C53)))/(SIN(B53+C53)^2)</f>
        <v>62.500223302776277</v>
      </c>
      <c r="F61" s="21"/>
      <c r="G61" s="21"/>
      <c r="H61" s="21"/>
      <c r="I61" s="21"/>
      <c r="J61" s="21">
        <f>+B61^2</f>
        <v>4726.587447107815</v>
      </c>
      <c r="K61" s="21">
        <f>+J61*$K$56^2</f>
        <v>5.4436915705383629E-6</v>
      </c>
      <c r="L61" s="21"/>
      <c r="M61" s="21">
        <f t="shared" si="0"/>
        <v>3906.2779128968987</v>
      </c>
      <c r="N61" s="22">
        <f>+M61*$N$43^2</f>
        <v>4.4989270556347722E-6</v>
      </c>
    </row>
    <row r="62" spans="1:19" ht="15.75" thickBot="1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2"/>
    </row>
    <row r="63" spans="1:19" ht="15.75" thickBot="1">
      <c r="A63" s="20"/>
      <c r="B63" s="21"/>
      <c r="C63" s="21"/>
      <c r="D63" s="21"/>
      <c r="E63" s="21"/>
      <c r="F63" s="21"/>
      <c r="G63" s="21"/>
      <c r="H63" s="21"/>
      <c r="I63" s="21"/>
      <c r="J63" s="15" t="s">
        <v>146</v>
      </c>
      <c r="K63" s="16">
        <f>+SQRT(K58+K59+K60+K61)</f>
        <v>3.8427449487570043E-3</v>
      </c>
      <c r="L63" s="21"/>
      <c r="M63" s="15" t="s">
        <v>147</v>
      </c>
      <c r="N63" s="16">
        <f>+SQRT(N58+N59+N60+N61)</f>
        <v>3.7037406983685454E-3</v>
      </c>
    </row>
    <row r="64" spans="1:19" ht="15.75" thickBot="1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7"/>
    </row>
    <row r="65" spans="1:14">
      <c r="A65" s="17" t="s">
        <v>125</v>
      </c>
      <c r="B65" s="18" t="s">
        <v>0</v>
      </c>
      <c r="C65" s="18" t="s">
        <v>23</v>
      </c>
      <c r="D65" s="18"/>
      <c r="E65" s="18"/>
      <c r="F65" s="18"/>
      <c r="G65" s="18"/>
      <c r="H65" s="18" t="s">
        <v>79</v>
      </c>
      <c r="I65" s="18"/>
      <c r="J65" s="18"/>
      <c r="K65" s="18"/>
      <c r="L65" s="18"/>
      <c r="M65" s="18"/>
      <c r="N65" s="19"/>
    </row>
    <row r="66" spans="1:14">
      <c r="A66" s="20">
        <v>3</v>
      </c>
      <c r="B66" s="21">
        <f>+(75+57/60+50/3600)*PI()/180</f>
        <v>1.3258199737302481</v>
      </c>
      <c r="C66" s="21">
        <f>+(75+57/60+50/3600)*PI()/180</f>
        <v>1.3258199737302481</v>
      </c>
      <c r="D66" s="21"/>
      <c r="E66" s="21" t="s">
        <v>140</v>
      </c>
      <c r="F66" s="21">
        <f>+$B$29-B7</f>
        <v>0.24497635306464849</v>
      </c>
      <c r="G66" s="21"/>
      <c r="H66" s="21">
        <v>50</v>
      </c>
      <c r="I66" s="21"/>
      <c r="J66" s="21"/>
      <c r="K66" s="21"/>
      <c r="L66" s="21"/>
      <c r="M66" s="21"/>
      <c r="N66" s="22"/>
    </row>
    <row r="67" spans="1:14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2"/>
    </row>
    <row r="68" spans="1:14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2"/>
    </row>
    <row r="69" spans="1:14">
      <c r="A69" s="20" t="s">
        <v>143</v>
      </c>
      <c r="B69" s="21"/>
      <c r="C69" s="21"/>
      <c r="D69" s="21"/>
      <c r="E69" s="21"/>
      <c r="F69" s="21"/>
      <c r="G69" s="21"/>
      <c r="H69" s="21"/>
      <c r="I69" s="21"/>
      <c r="J69" s="21"/>
      <c r="K69" s="21">
        <f>+(7/3600)*PI()/180</f>
        <v>3.3936957677667516E-5</v>
      </c>
      <c r="L69" s="21"/>
      <c r="M69" s="21"/>
      <c r="N69" s="22">
        <f>+(7/3600)*PI()/180</f>
        <v>3.3936957677667516E-5</v>
      </c>
    </row>
    <row r="70" spans="1:14">
      <c r="A70" s="20">
        <v>3</v>
      </c>
      <c r="B70" s="21"/>
      <c r="C70" s="21"/>
      <c r="D70" s="21"/>
      <c r="E70" s="21"/>
      <c r="F70" s="21"/>
      <c r="G70" s="21"/>
      <c r="H70" s="21"/>
      <c r="I70" s="21"/>
      <c r="J70" s="21"/>
      <c r="K70" s="21">
        <f>2/1000</f>
        <v>2E-3</v>
      </c>
      <c r="L70" s="21"/>
      <c r="M70" s="21"/>
      <c r="N70" s="22">
        <f>2/1000</f>
        <v>2E-3</v>
      </c>
    </row>
    <row r="71" spans="1:14">
      <c r="A71" s="23" t="s">
        <v>148</v>
      </c>
      <c r="B71" s="21">
        <f>+SIN(C66)*SIN(F66)/SIN(B66+C66)</f>
        <v>0.49999999999999983</v>
      </c>
      <c r="C71" s="21"/>
      <c r="D71" s="24" t="s">
        <v>152</v>
      </c>
      <c r="E71" s="21">
        <f>+SIN(C66)*COS(F66)/SIN(B66+C66)</f>
        <v>2.0000196357102715</v>
      </c>
      <c r="F71" s="21"/>
      <c r="G71" s="21"/>
      <c r="H71" s="21"/>
      <c r="I71" s="21"/>
      <c r="J71" s="21">
        <f>+B71^2</f>
        <v>0.24999999999999983</v>
      </c>
      <c r="K71" s="21">
        <f>+J71*K70^2</f>
        <v>9.9999999999999932E-7</v>
      </c>
      <c r="L71" s="21"/>
      <c r="M71" s="21">
        <f t="shared" si="0"/>
        <v>4.000078543226647</v>
      </c>
      <c r="N71" s="22">
        <f>+M71*N70^2</f>
        <v>1.6000314172906589E-5</v>
      </c>
    </row>
    <row r="72" spans="1:14">
      <c r="A72" s="23" t="s">
        <v>150</v>
      </c>
      <c r="B72" s="21">
        <f>+H66*SIN(C66)*COS(F66)/SIN(B66+C66)</f>
        <v>100.00098178551357</v>
      </c>
      <c r="C72" s="21"/>
      <c r="D72" s="24" t="s">
        <v>153</v>
      </c>
      <c r="E72" s="21">
        <f>-H66*SIN(C66)*SIN(F66)/SIN(B66+C66)</f>
        <v>-24.999999999999993</v>
      </c>
      <c r="F72" s="21"/>
      <c r="G72" s="21"/>
      <c r="H72" s="21"/>
      <c r="I72" s="21"/>
      <c r="J72" s="21">
        <f>+B72^2</f>
        <v>10000.196358066618</v>
      </c>
      <c r="K72" s="21">
        <f>+J72*$K$69^2</f>
        <v>1.1517397113100304E-5</v>
      </c>
      <c r="L72" s="21"/>
      <c r="M72" s="21">
        <f t="shared" si="0"/>
        <v>624.99999999999966</v>
      </c>
      <c r="N72" s="22">
        <f>+M72*$N$43^2</f>
        <v>7.1982318525987215E-7</v>
      </c>
    </row>
    <row r="73" spans="1:14">
      <c r="A73" s="23" t="s">
        <v>149</v>
      </c>
      <c r="B73" s="21">
        <f>-((H66*SIN(C66)*(COS(B66-$B$29)*SIN(B66+C66)+SIN(B66-$B$29)*COS(B66+C66)))/(SIN(B66+C66)^2))</f>
        <v>-146.8765033587664</v>
      </c>
      <c r="C73" s="21"/>
      <c r="D73" s="24" t="s">
        <v>154</v>
      </c>
      <c r="E73" s="21">
        <f>+-(H66*SIN(C66)*(SIN(B66+C66)*SIN(B66-$B$29)+COS(B66-$B$29)*COS(B66+C66)))/(SIN(B66+C66)^2)</f>
        <v>212.50392716133234</v>
      </c>
      <c r="F73" s="21"/>
      <c r="G73" s="21"/>
      <c r="H73" s="21"/>
      <c r="I73" s="21"/>
      <c r="J73" s="21">
        <f>+B73^2</f>
        <v>21572.707238897718</v>
      </c>
      <c r="K73" s="21">
        <f>+J73*$K$69^2</f>
        <v>2.4845655743011306E-5</v>
      </c>
      <c r="L73" s="21"/>
      <c r="M73" s="21">
        <f t="shared" si="0"/>
        <v>45157.919058988839</v>
      </c>
      <c r="N73" s="22">
        <f>+M73*$N$43^2</f>
        <v>5.2009147418798166E-5</v>
      </c>
    </row>
    <row r="74" spans="1:14">
      <c r="A74" s="23" t="s">
        <v>151</v>
      </c>
      <c r="B74" s="21">
        <f>+(H66*SIN(C66)*(COS(F66)*SIN(B66+C66)-SIN(F66)*COS(B66+C66)))/(SIN(B66+C66)^2)</f>
        <v>146.8765033587664</v>
      </c>
      <c r="C74" s="21"/>
      <c r="D74" s="24" t="s">
        <v>155</v>
      </c>
      <c r="E74" s="21">
        <f>+(H66*COS(F66)*(COS(C66)*SIN(B66+C66)-SIN(C66)*COS(B66+C66)))/(SIN(B66+C66)^2)</f>
        <v>212.50392716133234</v>
      </c>
      <c r="F74" s="21"/>
      <c r="G74" s="21"/>
      <c r="H74" s="21"/>
      <c r="I74" s="21"/>
      <c r="J74" s="21">
        <f>+B74^2</f>
        <v>21572.707238897718</v>
      </c>
      <c r="K74" s="21">
        <f>+J74*$K$69^2</f>
        <v>2.4845655743011306E-5</v>
      </c>
      <c r="L74" s="21"/>
      <c r="M74" s="21">
        <f t="shared" si="0"/>
        <v>45157.919058988839</v>
      </c>
      <c r="N74" s="22">
        <f>+M74*$N$43^2</f>
        <v>5.2009147418798166E-5</v>
      </c>
    </row>
    <row r="75" spans="1:14" ht="15.75" thickBot="1">
      <c r="A75" s="20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2"/>
    </row>
    <row r="76" spans="1:14" ht="15.75" thickBot="1">
      <c r="A76" s="20"/>
      <c r="B76" s="21"/>
      <c r="C76" s="21"/>
      <c r="D76" s="21"/>
      <c r="E76" s="21"/>
      <c r="F76" s="21"/>
      <c r="G76" s="21"/>
      <c r="H76" s="21"/>
      <c r="I76" s="21"/>
      <c r="J76" s="15" t="s">
        <v>146</v>
      </c>
      <c r="K76" s="16">
        <f>+SQRT(K71+K72+K73+K74)</f>
        <v>7.8872497487478422E-3</v>
      </c>
      <c r="L76" s="21"/>
      <c r="M76" s="15" t="s">
        <v>147</v>
      </c>
      <c r="N76" s="16">
        <f>+SQRT(N71+N72+N73+N74)</f>
        <v>1.0988104121993147E-2</v>
      </c>
    </row>
    <row r="77" spans="1:14" ht="15.75" thickBot="1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</row>
  </sheetData>
  <mergeCells count="3">
    <mergeCell ref="A37:N37"/>
    <mergeCell ref="A25:G25"/>
    <mergeCell ref="B9:I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11" sqref="A11:B22"/>
    </sheetView>
  </sheetViews>
  <sheetFormatPr baseColWidth="10" defaultRowHeight="15"/>
  <cols>
    <col min="9" max="9" width="11.85546875" bestFit="1" customWidth="1"/>
  </cols>
  <sheetData>
    <row r="1" spans="1:11">
      <c r="E1" t="s">
        <v>164</v>
      </c>
      <c r="G1" t="s">
        <v>165</v>
      </c>
      <c r="I1">
        <f>+PI()</f>
        <v>3.1415926535897931</v>
      </c>
    </row>
    <row r="2" spans="1:11">
      <c r="A2" t="s">
        <v>79</v>
      </c>
      <c r="B2">
        <v>959.60400000000004</v>
      </c>
      <c r="D2" t="s">
        <v>0</v>
      </c>
      <c r="E2">
        <f>+(51+0/60+44/3600)*PI()/180</f>
        <v>0.89033123653679624</v>
      </c>
      <c r="G2">
        <f>+E2</f>
        <v>0.89033123653679624</v>
      </c>
    </row>
    <row r="3" spans="1:11">
      <c r="A3" t="s">
        <v>158</v>
      </c>
      <c r="B3">
        <v>838.25400000000002</v>
      </c>
      <c r="D3" t="s">
        <v>23</v>
      </c>
      <c r="E3">
        <f>+(104+56/60+48/3600)*PI()/180</f>
        <v>1.8316648723263158</v>
      </c>
      <c r="F3">
        <f>360*PI()/180</f>
        <v>6.2831853071795862</v>
      </c>
      <c r="G3">
        <f>+F3-E3</f>
        <v>4.4515204348532702</v>
      </c>
      <c r="H3">
        <f>+G2+G3</f>
        <v>5.3418516713900663</v>
      </c>
      <c r="I3">
        <f>+H3-PI()</f>
        <v>2.2002590178002732</v>
      </c>
    </row>
    <row r="4" spans="1:11">
      <c r="A4" t="s">
        <v>159</v>
      </c>
      <c r="B4">
        <v>708.52200000000005</v>
      </c>
      <c r="D4" t="s">
        <v>24</v>
      </c>
      <c r="E4">
        <f>+(143+56/60+4/3600)*PI()/180</f>
        <v>2.512129962584416</v>
      </c>
      <c r="G4">
        <f>+E4</f>
        <v>2.512129962584416</v>
      </c>
      <c r="H4">
        <f>+G4+I3</f>
        <v>4.7123889803846897</v>
      </c>
      <c r="I4">
        <f>+H4-I1</f>
        <v>1.5707963267948966</v>
      </c>
    </row>
    <row r="5" spans="1:11">
      <c r="A5" t="s">
        <v>160</v>
      </c>
      <c r="B5">
        <v>420.435</v>
      </c>
      <c r="D5" t="s">
        <v>162</v>
      </c>
      <c r="E5">
        <f>+(121+25/60+27/3600)*PI()/180</f>
        <v>2.1192514998236813</v>
      </c>
      <c r="G5">
        <f>+E5</f>
        <v>2.1192514998236813</v>
      </c>
      <c r="H5">
        <f>+G5+I4</f>
        <v>3.6900478266185779</v>
      </c>
      <c r="I5">
        <f>+H5-I1</f>
        <v>0.54845517302878477</v>
      </c>
    </row>
    <row r="6" spans="1:11">
      <c r="A6" t="s">
        <v>161</v>
      </c>
      <c r="B6">
        <v>407.99299999999999</v>
      </c>
      <c r="D6" t="s">
        <v>60</v>
      </c>
      <c r="E6">
        <f>+(96+23/60+59/3600)*PI()/180</f>
        <v>1.6824925507857225</v>
      </c>
      <c r="G6">
        <f>+E6</f>
        <v>1.6824925507857225</v>
      </c>
      <c r="H6">
        <f>+I5+G6</f>
        <v>2.2309477238145075</v>
      </c>
      <c r="I6">
        <f>+H6+I1</f>
        <v>5.3725403774043006</v>
      </c>
      <c r="K6">
        <f>+I6*180/PI()</f>
        <v>307.82388888888892</v>
      </c>
    </row>
    <row r="9" spans="1:11">
      <c r="A9" t="s">
        <v>163</v>
      </c>
    </row>
    <row r="10" spans="1:11" ht="15.75" thickBot="1"/>
    <row r="11" spans="1:11">
      <c r="A11" s="17" t="s">
        <v>135</v>
      </c>
      <c r="B11" s="19">
        <v>0</v>
      </c>
    </row>
    <row r="12" spans="1:11" ht="15.75" thickBot="1">
      <c r="A12" s="25" t="s">
        <v>136</v>
      </c>
      <c r="B12" s="27">
        <v>0</v>
      </c>
    </row>
    <row r="13" spans="1:11">
      <c r="A13" s="17" t="s">
        <v>80</v>
      </c>
      <c r="B13" s="48">
        <f>+B11+B2*SIN(E2)</f>
        <v>745.88117863261994</v>
      </c>
    </row>
    <row r="14" spans="1:11" ht="15.75" thickBot="1">
      <c r="A14" s="25" t="s">
        <v>166</v>
      </c>
      <c r="B14" s="49">
        <f>+B12+B2*COS(E2)</f>
        <v>603.73926837469639</v>
      </c>
    </row>
    <row r="15" spans="1:11">
      <c r="A15" s="17" t="s">
        <v>82</v>
      </c>
      <c r="B15" s="48">
        <f>+B13+B3*SIN(I3)</f>
        <v>1423.4787234313246</v>
      </c>
    </row>
    <row r="16" spans="1:11" ht="15.75" thickBot="1">
      <c r="A16" s="25" t="s">
        <v>83</v>
      </c>
      <c r="B16" s="49">
        <f>+B14+B3*COS(I3)</f>
        <v>110.25032645323108</v>
      </c>
    </row>
    <row r="17" spans="1:2">
      <c r="A17" s="17" t="s">
        <v>167</v>
      </c>
      <c r="B17" s="48">
        <f>+B15+B4*SIN(I4)</f>
        <v>2132.0007234313248</v>
      </c>
    </row>
    <row r="18" spans="1:2" ht="15.75" thickBot="1">
      <c r="A18" s="25" t="s">
        <v>168</v>
      </c>
      <c r="B18" s="49">
        <f>+B16+B4*COS(I4)</f>
        <v>110.25032645323112</v>
      </c>
    </row>
    <row r="19" spans="1:2">
      <c r="A19" s="17" t="s">
        <v>169</v>
      </c>
      <c r="B19" s="48">
        <f>+B17+B5*SIN(I5)</f>
        <v>2351.2027524204059</v>
      </c>
    </row>
    <row r="20" spans="1:2" ht="15.75" thickBot="1">
      <c r="A20" s="25" t="s">
        <v>170</v>
      </c>
      <c r="B20" s="49">
        <f>+B18+B5*COS(I5)</f>
        <v>469.0205310578919</v>
      </c>
    </row>
    <row r="21" spans="1:2">
      <c r="A21" s="17" t="s">
        <v>171</v>
      </c>
      <c r="B21" s="48">
        <f>+B19+B6*SIN(I6)</f>
        <v>2028.9293271771835</v>
      </c>
    </row>
    <row r="22" spans="1:2" ht="15.75" thickBot="1">
      <c r="A22" s="25" t="s">
        <v>172</v>
      </c>
      <c r="B22" s="49">
        <f>+B20+B6*COS(I6)</f>
        <v>719.21670894836473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G8" sqref="G8"/>
    </sheetView>
  </sheetViews>
  <sheetFormatPr baseColWidth="10" defaultRowHeight="15"/>
  <sheetData>
    <row r="1" spans="1:5">
      <c r="B1" t="s">
        <v>1</v>
      </c>
      <c r="C1" t="s">
        <v>2</v>
      </c>
    </row>
    <row r="2" spans="1:5">
      <c r="A2" t="s">
        <v>0</v>
      </c>
      <c r="B2">
        <v>6.1520000000000001</v>
      </c>
      <c r="C2">
        <v>1.325</v>
      </c>
    </row>
    <row r="3" spans="1:5">
      <c r="A3" t="s">
        <v>77</v>
      </c>
      <c r="B3" t="s">
        <v>78</v>
      </c>
      <c r="D3">
        <f>35+40/60</f>
        <v>35.666666666666664</v>
      </c>
      <c r="E3">
        <f>+D3*PI()/180</f>
        <v>0.62250076654464415</v>
      </c>
    </row>
    <row r="4" spans="1:5">
      <c r="A4" t="s">
        <v>79</v>
      </c>
      <c r="B4">
        <v>271.33999999999997</v>
      </c>
    </row>
    <row r="6" spans="1:5">
      <c r="A6" t="s">
        <v>80</v>
      </c>
      <c r="B6" s="3">
        <f>+B2+B4*SIN(E3)</f>
        <v>164.36185063423906</v>
      </c>
    </row>
    <row r="7" spans="1:5">
      <c r="A7" t="s">
        <v>81</v>
      </c>
      <c r="B7" s="3">
        <f>+C2+B4*COS(E3)</f>
        <v>221.76782424767592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10" sqref="B10:B11"/>
    </sheetView>
  </sheetViews>
  <sheetFormatPr baseColWidth="10" defaultRowHeight="15"/>
  <sheetData>
    <row r="1" spans="1:7">
      <c r="B1" t="s">
        <v>1</v>
      </c>
      <c r="C1" t="s">
        <v>2</v>
      </c>
    </row>
    <row r="2" spans="1:7">
      <c r="A2" t="s">
        <v>0</v>
      </c>
      <c r="B2">
        <v>0.214</v>
      </c>
      <c r="C2">
        <v>1.32</v>
      </c>
    </row>
    <row r="3" spans="1:7">
      <c r="A3" t="s">
        <v>23</v>
      </c>
      <c r="B3">
        <v>11.271000000000001</v>
      </c>
      <c r="C3">
        <v>424.31799999999998</v>
      </c>
    </row>
    <row r="5" spans="1:7">
      <c r="A5" t="s">
        <v>79</v>
      </c>
      <c r="B5">
        <v>225.5</v>
      </c>
    </row>
    <row r="8" spans="1:7">
      <c r="A8" t="s">
        <v>77</v>
      </c>
      <c r="B8">
        <f>+ATAN((B3-B2)/(C3-C2))</f>
        <v>2.6133652390257008E-2</v>
      </c>
      <c r="D8">
        <f>+B8*180/PI()</f>
        <v>1.4973479852237024</v>
      </c>
      <c r="E8">
        <f>+INT(D8)</f>
        <v>1</v>
      </c>
      <c r="F8">
        <f>+INT((D8-E8)*60)</f>
        <v>29</v>
      </c>
      <c r="G8" s="4">
        <f>+((D8-E8)*60-F8)*60</f>
        <v>50.45274680532863</v>
      </c>
    </row>
    <row r="10" spans="1:7">
      <c r="A10" t="s">
        <v>82</v>
      </c>
      <c r="B10" s="3">
        <f>+B2+B5*SIN(B8)</f>
        <v>6.1064678329362598</v>
      </c>
    </row>
    <row r="11" spans="1:7">
      <c r="A11" t="s">
        <v>83</v>
      </c>
      <c r="B11" s="3">
        <f>+C2+B5*COS(B8)</f>
        <v>226.7429997645267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B6" sqref="B6"/>
    </sheetView>
  </sheetViews>
  <sheetFormatPr baseColWidth="10" defaultRowHeight="15"/>
  <sheetData>
    <row r="2" spans="1:6">
      <c r="A2" t="s">
        <v>84</v>
      </c>
      <c r="B2">
        <v>35.1</v>
      </c>
    </row>
    <row r="3" spans="1:6">
      <c r="A3" t="s">
        <v>85</v>
      </c>
      <c r="B3">
        <v>24.83</v>
      </c>
    </row>
    <row r="4" spans="1:6">
      <c r="A4" t="s">
        <v>86</v>
      </c>
      <c r="B4">
        <v>20.93</v>
      </c>
    </row>
    <row r="6" spans="1:6">
      <c r="A6" t="s">
        <v>87</v>
      </c>
      <c r="B6">
        <f>+-((B3^2)-(B4^2)-(B2^2))/(2*B4*B2)</f>
        <v>0.71704623878536922</v>
      </c>
    </row>
    <row r="7" spans="1:6">
      <c r="A7" t="s">
        <v>88</v>
      </c>
      <c r="B7">
        <f>+ACOS(B6)</f>
        <v>0.77124096326672231</v>
      </c>
      <c r="C7">
        <f>+B7*180/PI()</f>
        <v>44.18885218278735</v>
      </c>
      <c r="D7">
        <f>+INT(C7)</f>
        <v>44</v>
      </c>
      <c r="E7">
        <f>+INT((C7-D7)*60)</f>
        <v>11</v>
      </c>
      <c r="F7" s="4">
        <f>+((C7-D7)*60-E7)*60</f>
        <v>19.867858034461392</v>
      </c>
    </row>
    <row r="8" spans="1:6">
      <c r="A8" t="s">
        <v>91</v>
      </c>
      <c r="B8">
        <f>+PI()/2-B7</f>
        <v>0.79955536352817425</v>
      </c>
      <c r="C8">
        <f>+B8*180/PI()</f>
        <v>45.811147817212657</v>
      </c>
      <c r="D8">
        <f>+INT(C8)</f>
        <v>45</v>
      </c>
      <c r="E8">
        <f>+INT((C8-D8)*60)</f>
        <v>48</v>
      </c>
      <c r="F8" s="4">
        <f>+((C8-D8)*60-E8)*60</f>
        <v>40.132141965564188</v>
      </c>
    </row>
    <row r="9" spans="1:6">
      <c r="A9" t="s">
        <v>89</v>
      </c>
      <c r="B9" s="8">
        <f>+B2*SIN(B8)</f>
        <v>25.168322981366462</v>
      </c>
    </row>
    <row r="10" spans="1:6">
      <c r="A10" t="s">
        <v>90</v>
      </c>
      <c r="B10" s="8">
        <f>+B2*COS(B8)</f>
        <v>24.465598670492842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25" sqref="B25"/>
    </sheetView>
  </sheetViews>
  <sheetFormatPr baseColWidth="10" defaultRowHeight="15"/>
  <sheetData>
    <row r="1" spans="1:14">
      <c r="A1" t="s">
        <v>92</v>
      </c>
    </row>
    <row r="2" spans="1:14">
      <c r="A2" t="s">
        <v>3</v>
      </c>
      <c r="B2" t="s">
        <v>1</v>
      </c>
      <c r="C2" t="s">
        <v>2</v>
      </c>
    </row>
    <row r="3" spans="1:14">
      <c r="A3" t="s">
        <v>0</v>
      </c>
      <c r="B3">
        <v>100</v>
      </c>
      <c r="C3">
        <v>200</v>
      </c>
    </row>
    <row r="5" spans="1:14">
      <c r="A5" t="s">
        <v>4</v>
      </c>
      <c r="B5">
        <v>25.521000000000001</v>
      </c>
    </row>
    <row r="6" spans="1:14">
      <c r="A6" t="s">
        <v>5</v>
      </c>
      <c r="B6">
        <v>27.456</v>
      </c>
    </row>
    <row r="7" spans="1:14">
      <c r="B7" t="s">
        <v>8</v>
      </c>
      <c r="C7" t="s">
        <v>9</v>
      </c>
    </row>
    <row r="8" spans="1:14">
      <c r="A8" t="s">
        <v>6</v>
      </c>
      <c r="B8" t="s">
        <v>10</v>
      </c>
      <c r="C8" t="s">
        <v>18</v>
      </c>
      <c r="E8">
        <f>52+24/60+46/3600</f>
        <v>52.412777777777777</v>
      </c>
      <c r="F8">
        <v>180</v>
      </c>
      <c r="G8">
        <f>+F8+E8</f>
        <v>232.41277777777776</v>
      </c>
      <c r="H8">
        <f>+INT(G8)</f>
        <v>232</v>
      </c>
      <c r="I8">
        <f>+INT((G8-H8)*60)</f>
        <v>24</v>
      </c>
      <c r="J8">
        <f>+((G8-H8)*60-I8)*60</f>
        <v>45.999999999944521</v>
      </c>
    </row>
    <row r="9" spans="1:14">
      <c r="A9" t="s">
        <v>7</v>
      </c>
      <c r="B9" t="s">
        <v>11</v>
      </c>
      <c r="C9" t="s">
        <v>19</v>
      </c>
      <c r="E9">
        <f>101+35/60+10/3600</f>
        <v>101.58611111111111</v>
      </c>
      <c r="F9">
        <v>180</v>
      </c>
      <c r="G9">
        <f>+F9+E9</f>
        <v>281.58611111111111</v>
      </c>
      <c r="H9">
        <f>+INT(G9)</f>
        <v>281</v>
      </c>
      <c r="I9">
        <f>+INT((G9-H9)*60)</f>
        <v>35</v>
      </c>
      <c r="J9">
        <f>+((G9-H9)*60-I9)*60</f>
        <v>9.9999999999909051</v>
      </c>
    </row>
    <row r="11" spans="1:14">
      <c r="A11" t="s">
        <v>12</v>
      </c>
    </row>
    <row r="12" spans="1:14">
      <c r="D12" s="1" t="s">
        <v>20</v>
      </c>
      <c r="H12" s="2" t="s">
        <v>13</v>
      </c>
    </row>
    <row r="13" spans="1:14">
      <c r="A13">
        <f>52+24/60+46/3600</f>
        <v>52.412777777777777</v>
      </c>
      <c r="B13">
        <f>232+24/60+56/3600</f>
        <v>232.41555555555556</v>
      </c>
      <c r="C13">
        <f>+B13-A13</f>
        <v>180.00277777777779</v>
      </c>
      <c r="D13">
        <f>+C13-180</f>
        <v>2.7777777777941992E-3</v>
      </c>
      <c r="E13">
        <f>+INT(D13)</f>
        <v>0</v>
      </c>
      <c r="F13">
        <f>+INT((D13-E13)*60)</f>
        <v>0</v>
      </c>
      <c r="G13">
        <f>+((D13-E13)*60-F13)*60</f>
        <v>10.000000000059117</v>
      </c>
      <c r="H13">
        <f>+G13/2</f>
        <v>5.0000000000295586</v>
      </c>
      <c r="N13">
        <f>52+24/60+46/3600</f>
        <v>52.412777777777777</v>
      </c>
    </row>
    <row r="14" spans="1:14">
      <c r="A14">
        <f>101+35/60+10/3600</f>
        <v>101.58611111111111</v>
      </c>
      <c r="B14">
        <f>281+35/60+20/3600</f>
        <v>281.58888888888885</v>
      </c>
      <c r="C14">
        <f>+B14-A14</f>
        <v>180.00277777777774</v>
      </c>
      <c r="D14">
        <f>+C14-180</f>
        <v>2.7777777777373558E-3</v>
      </c>
      <c r="E14">
        <f>+INT(D14)</f>
        <v>0</v>
      </c>
      <c r="F14">
        <f>+INT((D14-E14)*60)</f>
        <v>0</v>
      </c>
      <c r="G14">
        <f>+((D14-E14)*60-F14)*60</f>
        <v>9.9999999998544808</v>
      </c>
      <c r="H14">
        <f>+G14/2</f>
        <v>4.9999999999272404</v>
      </c>
      <c r="N14">
        <f>232+28/60+46/3600</f>
        <v>232.47944444444445</v>
      </c>
    </row>
    <row r="16" spans="1:14">
      <c r="A16" t="s">
        <v>14</v>
      </c>
      <c r="N16">
        <f>+N14-N13</f>
        <v>180.06666666666666</v>
      </c>
    </row>
    <row r="18" spans="1:6">
      <c r="A18" t="s">
        <v>15</v>
      </c>
      <c r="E18" s="1"/>
    </row>
    <row r="19" spans="1:6">
      <c r="E19" s="1"/>
    </row>
    <row r="20" spans="1:6">
      <c r="A20" t="s">
        <v>9</v>
      </c>
      <c r="B20" t="s">
        <v>21</v>
      </c>
      <c r="C20" t="s">
        <v>22</v>
      </c>
    </row>
    <row r="21" spans="1:6">
      <c r="A21" t="s">
        <v>8</v>
      </c>
      <c r="B21" t="s">
        <v>16</v>
      </c>
      <c r="C21" t="s">
        <v>17</v>
      </c>
      <c r="D21" t="s">
        <v>6</v>
      </c>
      <c r="E21">
        <f>52+24/60+51/3600</f>
        <v>52.414166666666667</v>
      </c>
      <c r="F21">
        <f>+E21*PI()/180</f>
        <v>0.91479978302239451</v>
      </c>
    </row>
    <row r="22" spans="1:6">
      <c r="B22" t="s">
        <v>6</v>
      </c>
      <c r="C22" t="s">
        <v>7</v>
      </c>
      <c r="D22" t="s">
        <v>7</v>
      </c>
      <c r="E22">
        <f>101+35/60+15/3600</f>
        <v>101.58749999999999</v>
      </c>
      <c r="F22">
        <f>+E22*PI()/180</f>
        <v>1.7730363538697393</v>
      </c>
    </row>
    <row r="24" spans="1:6">
      <c r="B24" t="s">
        <v>1</v>
      </c>
      <c r="C24" t="s">
        <v>2</v>
      </c>
    </row>
    <row r="25" spans="1:6">
      <c r="A25" t="s">
        <v>23</v>
      </c>
      <c r="B25" s="3">
        <f>+B3+B5*SIN(F21)</f>
        <v>120.22387350447437</v>
      </c>
      <c r="C25" s="3">
        <f>+C3+B5*COS(F21)</f>
        <v>215.56651475041923</v>
      </c>
    </row>
    <row r="26" spans="1:6">
      <c r="A26" t="s">
        <v>24</v>
      </c>
      <c r="B26" s="3">
        <f>+B3+B6*SIN(F22)</f>
        <v>126.89642186364519</v>
      </c>
      <c r="C26" s="3">
        <f>+C3+B6*COS(F22)</f>
        <v>194.48507235470589</v>
      </c>
    </row>
    <row r="28" spans="1:6">
      <c r="A28" t="s">
        <v>25</v>
      </c>
      <c r="B28" s="3">
        <f>+SQRT((B25-B26)^2+(C25-C26)^2)</f>
        <v>22.112216421906982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baseColWidth="10" defaultRowHeight="15"/>
  <sheetData>
    <row r="1" spans="1:6">
      <c r="A1" t="s">
        <v>93</v>
      </c>
    </row>
    <row r="3" spans="1:6">
      <c r="A3" t="s">
        <v>26</v>
      </c>
    </row>
    <row r="4" spans="1:6">
      <c r="A4" t="s">
        <v>27</v>
      </c>
    </row>
    <row r="5" spans="1:6">
      <c r="A5" t="s">
        <v>34</v>
      </c>
    </row>
    <row r="6" spans="1:6">
      <c r="B6" t="s">
        <v>8</v>
      </c>
    </row>
    <row r="7" spans="1:6">
      <c r="A7" t="s">
        <v>28</v>
      </c>
      <c r="B7" t="s">
        <v>29</v>
      </c>
    </row>
    <row r="8" spans="1:6">
      <c r="A8" t="s">
        <v>30</v>
      </c>
      <c r="B8" t="s">
        <v>33</v>
      </c>
      <c r="D8">
        <f>+(79+59/60+25/3600)*PI()/180</f>
        <v>1.3960937168070753</v>
      </c>
    </row>
    <row r="9" spans="1:6">
      <c r="A9" t="s">
        <v>31</v>
      </c>
      <c r="B9">
        <v>50.774000000000001</v>
      </c>
    </row>
    <row r="11" spans="1:6">
      <c r="A11" t="s">
        <v>32</v>
      </c>
      <c r="B11" s="3">
        <f>+B9*SIN(D8)</f>
        <v>50.00113205261232</v>
      </c>
      <c r="C11" t="s">
        <v>35</v>
      </c>
    </row>
    <row r="12" spans="1:6">
      <c r="A12" t="s">
        <v>36</v>
      </c>
      <c r="B12">
        <f>+ASIN(50/B9)</f>
        <v>1.395965489787061</v>
      </c>
      <c r="C12">
        <f>+B12*180/PI()</f>
        <v>79.982930910711417</v>
      </c>
      <c r="D12">
        <f>+INT(C12)</f>
        <v>79</v>
      </c>
      <c r="E12">
        <f>+INT((C12-D12)*60)</f>
        <v>58</v>
      </c>
      <c r="F12" s="4">
        <f>+((C12-D12)*60-E12)*60</f>
        <v>58.551278561101299</v>
      </c>
    </row>
    <row r="13" spans="1:6">
      <c r="B13">
        <f>+D8-B12</f>
        <v>1.2822702001424879E-4</v>
      </c>
      <c r="C13">
        <f>+B13*180/PI()</f>
        <v>7.3468670663559927E-3</v>
      </c>
      <c r="D13">
        <f>+INT(C13)</f>
        <v>0</v>
      </c>
      <c r="E13">
        <f>+INT((C13-D13)*60)</f>
        <v>0</v>
      </c>
      <c r="F13" s="4">
        <f>+((C13-D13)*60-E13)*60</f>
        <v>26.448721438881574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B14" sqref="B14"/>
    </sheetView>
  </sheetViews>
  <sheetFormatPr baseColWidth="10" defaultRowHeight="15"/>
  <cols>
    <col min="10" max="10" width="12.5703125" bestFit="1" customWidth="1"/>
    <col min="13" max="13" width="13.5703125" bestFit="1" customWidth="1"/>
    <col min="15" max="15" width="12.7109375" bestFit="1" customWidth="1"/>
    <col min="16" max="16" width="12" bestFit="1" customWidth="1"/>
  </cols>
  <sheetData>
    <row r="1" spans="1:17">
      <c r="A1" t="s">
        <v>94</v>
      </c>
    </row>
    <row r="3" spans="1:17">
      <c r="A3" t="s">
        <v>37</v>
      </c>
    </row>
    <row r="5" spans="1:17">
      <c r="B5" t="s">
        <v>40</v>
      </c>
      <c r="C5" t="s">
        <v>41</v>
      </c>
      <c r="D5" t="s">
        <v>38</v>
      </c>
    </row>
    <row r="6" spans="1:17">
      <c r="A6">
        <v>1</v>
      </c>
      <c r="B6" t="s">
        <v>53</v>
      </c>
      <c r="C6" t="s">
        <v>56</v>
      </c>
      <c r="D6">
        <v>10.112</v>
      </c>
      <c r="F6">
        <v>98</v>
      </c>
      <c r="G6">
        <v>26</v>
      </c>
      <c r="H6">
        <v>46</v>
      </c>
      <c r="I6">
        <f>+F6+G6/60+H6/3600</f>
        <v>98.446111111111108</v>
      </c>
      <c r="K6">
        <v>261</v>
      </c>
      <c r="L6">
        <v>23</v>
      </c>
      <c r="M6">
        <v>4</v>
      </c>
      <c r="N6">
        <f>+K6+L6/60+M6/3600</f>
        <v>261.38444444444445</v>
      </c>
      <c r="Q6">
        <f>+I6*PI()/180</f>
        <v>1.7182087746730619</v>
      </c>
    </row>
    <row r="7" spans="1:17">
      <c r="A7">
        <v>2</v>
      </c>
      <c r="B7" t="s">
        <v>54</v>
      </c>
      <c r="C7" t="s">
        <v>57</v>
      </c>
      <c r="D7">
        <v>10.127000000000001</v>
      </c>
      <c r="F7">
        <v>80</v>
      </c>
      <c r="G7">
        <v>49</v>
      </c>
      <c r="H7">
        <v>44</v>
      </c>
      <c r="I7">
        <f>+F7+G7/60+H7/3600</f>
        <v>80.828888888888883</v>
      </c>
      <c r="K7">
        <v>279</v>
      </c>
      <c r="L7">
        <v>0</v>
      </c>
      <c r="M7">
        <v>6</v>
      </c>
      <c r="N7">
        <f>+K7+L7/60+M7/3600</f>
        <v>279.00166666666667</v>
      </c>
      <c r="Q7">
        <f>+I7*PI()/180</f>
        <v>1.410730241839772</v>
      </c>
    </row>
    <row r="8" spans="1:17">
      <c r="A8">
        <v>3</v>
      </c>
      <c r="B8" t="s">
        <v>55</v>
      </c>
      <c r="C8" t="s">
        <v>58</v>
      </c>
      <c r="D8">
        <v>10.545999999999999</v>
      </c>
      <c r="F8">
        <v>71</v>
      </c>
      <c r="G8">
        <v>24</v>
      </c>
      <c r="H8">
        <v>17</v>
      </c>
      <c r="I8">
        <f>+F8+G8/60+H8/3600</f>
        <v>71.404722222222233</v>
      </c>
      <c r="K8">
        <v>288</v>
      </c>
      <c r="L8">
        <v>25</v>
      </c>
      <c r="M8">
        <v>33</v>
      </c>
      <c r="N8">
        <f>+K8+L8/60+M8/3600</f>
        <v>288.42583333333334</v>
      </c>
      <c r="Q8">
        <f>+I8*PI()/180</f>
        <v>1.2462475042497401</v>
      </c>
    </row>
    <row r="12" spans="1:17">
      <c r="A12" t="s">
        <v>39</v>
      </c>
    </row>
    <row r="14" spans="1:17">
      <c r="A14" s="1" t="s">
        <v>42</v>
      </c>
      <c r="B14" s="7">
        <f>+(360-(I6+N6))/2</f>
        <v>8.4722222222211485E-2</v>
      </c>
      <c r="C14">
        <f>+INT(B14)</f>
        <v>0</v>
      </c>
      <c r="D14">
        <f>+INT((B14-C14)*60)</f>
        <v>5</v>
      </c>
      <c r="E14">
        <f>+((B14-C14)*60-D14)*60</f>
        <v>4.9999999999613465</v>
      </c>
    </row>
    <row r="15" spans="1:17">
      <c r="A15" s="1" t="s">
        <v>43</v>
      </c>
      <c r="B15" s="7">
        <f>+(360-(I7+N7))/2</f>
        <v>8.4722222222239907E-2</v>
      </c>
      <c r="C15">
        <f>+INT(B15)</f>
        <v>0</v>
      </c>
      <c r="D15">
        <f>+INT((B15-C15)*60)</f>
        <v>5</v>
      </c>
      <c r="E15">
        <f>+((B15-C15)*60-D15)*60</f>
        <v>5.0000000000636646</v>
      </c>
    </row>
    <row r="16" spans="1:17">
      <c r="A16" s="1" t="s">
        <v>44</v>
      </c>
      <c r="B16" s="7">
        <f>+(360-(I8+N8))/2</f>
        <v>8.4722222222211485E-2</v>
      </c>
      <c r="C16">
        <f>+INT(B16)</f>
        <v>0</v>
      </c>
      <c r="D16">
        <f>+INT((B16-C16)*60)</f>
        <v>5</v>
      </c>
      <c r="E16">
        <f>+((B16-C16)*60-D16)*60</f>
        <v>4.9999999999613465</v>
      </c>
    </row>
    <row r="17" spans="1:17">
      <c r="G17" t="s">
        <v>51</v>
      </c>
    </row>
    <row r="18" spans="1:17">
      <c r="A18" t="s">
        <v>45</v>
      </c>
      <c r="B18" s="3">
        <f>+I6+B14</f>
        <v>98.53083333333332</v>
      </c>
      <c r="C18">
        <f>+INT(B18)</f>
        <v>98</v>
      </c>
      <c r="D18">
        <f>+INT((B18-C18)*60)</f>
        <v>31</v>
      </c>
      <c r="E18">
        <f>+((B18-C18)*60-D18)*60</f>
        <v>50.999999999950205</v>
      </c>
      <c r="G18">
        <f>+B18*PI()/180</f>
        <v>1.7196874564004458</v>
      </c>
      <c r="J18" s="3">
        <f>+N6+B14</f>
        <v>261.46916666666664</v>
      </c>
      <c r="M18" s="4">
        <f>+B18+J18</f>
        <v>359.99999999999994</v>
      </c>
    </row>
    <row r="19" spans="1:17">
      <c r="A19" t="s">
        <v>46</v>
      </c>
      <c r="B19" s="3">
        <f>+I7+B15</f>
        <v>80.913611111111123</v>
      </c>
      <c r="C19">
        <f>+INT(B19)</f>
        <v>80</v>
      </c>
      <c r="D19">
        <f>+INT((B19-C19)*60)</f>
        <v>54</v>
      </c>
      <c r="E19">
        <f>+((B19-C19)*60-D19)*60</f>
        <v>49.00000000004411</v>
      </c>
      <c r="G19">
        <f>+B19*PI()/180</f>
        <v>1.4122089235671564</v>
      </c>
      <c r="J19" s="3">
        <f>+N7+B15</f>
        <v>279.08638888888891</v>
      </c>
      <c r="M19" s="4">
        <f>+B19+J19</f>
        <v>360</v>
      </c>
    </row>
    <row r="20" spans="1:17">
      <c r="A20" t="s">
        <v>47</v>
      </c>
      <c r="B20" s="3">
        <f>+I8+B16</f>
        <v>71.489444444444445</v>
      </c>
      <c r="C20">
        <f>+INT(B20)</f>
        <v>71</v>
      </c>
      <c r="D20">
        <f>+INT((B20-C20)*60)</f>
        <v>29</v>
      </c>
      <c r="E20">
        <f>+((B20-C20)*60-D20)*60</f>
        <v>22.000000000000455</v>
      </c>
      <c r="G20">
        <f>+B20*PI()/180</f>
        <v>1.247726185977124</v>
      </c>
      <c r="J20" s="3">
        <f>+N8+B16</f>
        <v>288.51055555555558</v>
      </c>
      <c r="M20" s="4">
        <f>+B20+J20</f>
        <v>360</v>
      </c>
    </row>
    <row r="22" spans="1:17">
      <c r="A22" t="s">
        <v>48</v>
      </c>
      <c r="B22" s="3">
        <f>+D6*SIN(G18)</f>
        <v>10.000122627181105</v>
      </c>
      <c r="Q22" s="3">
        <f>+D6*SIN(Q6)</f>
        <v>10.002329761403978</v>
      </c>
    </row>
    <row r="23" spans="1:17">
      <c r="A23" t="s">
        <v>49</v>
      </c>
      <c r="B23" s="3">
        <f>+D7*SIN(G19)</f>
        <v>9.9999198286814721</v>
      </c>
      <c r="Q23" s="3">
        <f>+D7*SIN(Q7)</f>
        <v>9.9975440544245888</v>
      </c>
    </row>
    <row r="24" spans="1:17">
      <c r="A24" t="s">
        <v>50</v>
      </c>
      <c r="B24" s="3">
        <f>+D8*SIN(G20)</f>
        <v>10.000404612859109</v>
      </c>
      <c r="Q24" s="3">
        <f>+D8*SIN(Q8)</f>
        <v>9.9954428522343424</v>
      </c>
    </row>
    <row r="26" spans="1:17">
      <c r="A26" t="s">
        <v>52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5" workbookViewId="0">
      <selection activeCell="K45" sqref="K45"/>
    </sheetView>
  </sheetViews>
  <sheetFormatPr baseColWidth="10" defaultRowHeight="15"/>
  <cols>
    <col min="4" max="4" width="12.7109375" bestFit="1" customWidth="1"/>
  </cols>
  <sheetData>
    <row r="1" spans="1:5">
      <c r="A1" t="s">
        <v>95</v>
      </c>
    </row>
    <row r="3" spans="1:5">
      <c r="A3" t="s">
        <v>59</v>
      </c>
    </row>
    <row r="5" spans="1:5">
      <c r="B5" t="s">
        <v>1</v>
      </c>
      <c r="C5" t="s">
        <v>2</v>
      </c>
    </row>
    <row r="6" spans="1:5">
      <c r="A6" t="s">
        <v>60</v>
      </c>
      <c r="B6">
        <v>1051.4100000000001</v>
      </c>
      <c r="C6">
        <v>1989.528</v>
      </c>
    </row>
    <row r="7" spans="1:5">
      <c r="A7" t="s">
        <v>61</v>
      </c>
      <c r="B7" t="s">
        <v>64</v>
      </c>
      <c r="E7">
        <f>+(12+18/60+40/3600)*PI()/180</f>
        <v>0.21486942346774637</v>
      </c>
    </row>
    <row r="8" spans="1:5">
      <c r="A8" t="s">
        <v>62</v>
      </c>
      <c r="B8" t="s">
        <v>65</v>
      </c>
      <c r="E8">
        <f>+(137+21/60+4/3600)*PI()/180</f>
        <v>2.3972291201614557</v>
      </c>
    </row>
    <row r="9" spans="1:5">
      <c r="A9" t="s">
        <v>63</v>
      </c>
      <c r="B9" t="s">
        <v>66</v>
      </c>
      <c r="E9">
        <f>+(222+38/60+56/3600)*PI()/180</f>
        <v>3.8859561870181301</v>
      </c>
    </row>
    <row r="10" spans="1:5">
      <c r="A10" t="s">
        <v>67</v>
      </c>
      <c r="B10">
        <v>13.13</v>
      </c>
    </row>
    <row r="11" spans="1:5">
      <c r="A11" t="s">
        <v>68</v>
      </c>
      <c r="B11">
        <v>4.1319999999999997</v>
      </c>
    </row>
    <row r="12" spans="1:5">
      <c r="A12" t="s">
        <v>69</v>
      </c>
      <c r="B12">
        <v>4.1319999999999997</v>
      </c>
    </row>
    <row r="14" spans="1:5">
      <c r="A14" t="s">
        <v>3</v>
      </c>
      <c r="B14" t="s">
        <v>1</v>
      </c>
      <c r="C14" t="s">
        <v>2</v>
      </c>
    </row>
    <row r="15" spans="1:5">
      <c r="A15">
        <v>1</v>
      </c>
      <c r="B15" s="3">
        <f>+$B$6+B10*SIN(E7)</f>
        <v>1054.2095767131229</v>
      </c>
      <c r="C15" s="3">
        <f>+$C$6+B10*COS(E7)</f>
        <v>2002.3560657243147</v>
      </c>
    </row>
    <row r="16" spans="1:5">
      <c r="A16">
        <v>2</v>
      </c>
      <c r="B16" s="3">
        <f>+$B$6+B11*SIN(E8)</f>
        <v>1054.2094457606486</v>
      </c>
      <c r="C16" s="3">
        <f>+$C$6+B11*COS(E8)</f>
        <v>1986.4888344182675</v>
      </c>
    </row>
    <row r="17" spans="1:6">
      <c r="A17">
        <v>3</v>
      </c>
      <c r="B17" s="3">
        <f>+$B$6+B12*SIN(E9)</f>
        <v>1048.6105542393516</v>
      </c>
      <c r="C17" s="3">
        <f>+$C$6+B12*COS(E9)</f>
        <v>1986.4888344182675</v>
      </c>
    </row>
    <row r="19" spans="1:6">
      <c r="A19" t="s">
        <v>70</v>
      </c>
    </row>
    <row r="21" spans="1:6">
      <c r="A21" t="s">
        <v>71</v>
      </c>
      <c r="B21" s="3">
        <f>+SQRT((B15-B16)^2+(C15-C16)^2)</f>
        <v>15.867231306587565</v>
      </c>
    </row>
    <row r="22" spans="1:6">
      <c r="A22" t="s">
        <v>72</v>
      </c>
      <c r="B22" s="3">
        <f>+SQRT((B15-B17)^2+(C15-C17)^2)</f>
        <v>16.82611309784291</v>
      </c>
    </row>
    <row r="23" spans="1:6">
      <c r="A23" t="s">
        <v>73</v>
      </c>
      <c r="B23" s="3">
        <f>+SQRT((B16-B17)^2+(C16-C17)^2)</f>
        <v>5.5988915212969914</v>
      </c>
    </row>
    <row r="25" spans="1:6">
      <c r="A25" t="s">
        <v>74</v>
      </c>
    </row>
    <row r="27" spans="1:6">
      <c r="B27">
        <f>+ACOS(((B23^2)+(B21^2)-(B22^2))/(2*B23*B21))</f>
        <v>1.5708045798084085</v>
      </c>
      <c r="C27">
        <f>+B27*180/PI()</f>
        <v>90.0004728628425</v>
      </c>
      <c r="D27">
        <f>+INT(C27)</f>
        <v>90</v>
      </c>
      <c r="E27">
        <f>+INT((C27-D27)*60)</f>
        <v>0</v>
      </c>
      <c r="F27">
        <f>+((C27-D27)*60-E27)*60</f>
        <v>1.7023062329997174</v>
      </c>
    </row>
    <row r="30" spans="1:6">
      <c r="A30" t="s">
        <v>96</v>
      </c>
    </row>
    <row r="32" spans="1:6">
      <c r="B32" t="s">
        <v>1</v>
      </c>
      <c r="C32" t="s">
        <v>2</v>
      </c>
    </row>
    <row r="33" spans="1:5">
      <c r="A33" t="s">
        <v>60</v>
      </c>
      <c r="B33">
        <v>1051.4100000000001</v>
      </c>
      <c r="C33">
        <v>1989.528</v>
      </c>
    </row>
    <row r="34" spans="1:5">
      <c r="A34" t="s">
        <v>61</v>
      </c>
      <c r="B34" t="s">
        <v>64</v>
      </c>
      <c r="E34">
        <f>+(12+18/60+40/3600)*PI()/180</f>
        <v>0.21486942346774637</v>
      </c>
    </row>
    <row r="35" spans="1:5">
      <c r="A35" t="s">
        <v>62</v>
      </c>
      <c r="B35" t="s">
        <v>65</v>
      </c>
      <c r="E35">
        <f>+(137+21/60+4/3600)*PI()/180</f>
        <v>2.3972291201614557</v>
      </c>
    </row>
    <row r="36" spans="1:5">
      <c r="A36" t="s">
        <v>63</v>
      </c>
      <c r="B36" t="s">
        <v>66</v>
      </c>
      <c r="E36">
        <f>+(222+38/60+56/3600)*PI()/180</f>
        <v>3.8859561870181301</v>
      </c>
    </row>
    <row r="37" spans="1:5">
      <c r="A37" t="s">
        <v>67</v>
      </c>
      <c r="B37">
        <f>13.13+0.03</f>
        <v>13.16</v>
      </c>
    </row>
    <row r="38" spans="1:5">
      <c r="A38" t="s">
        <v>68</v>
      </c>
      <c r="B38">
        <f>4.132+0.03</f>
        <v>4.1619999999999999</v>
      </c>
    </row>
    <row r="39" spans="1:5">
      <c r="A39" t="s">
        <v>69</v>
      </c>
      <c r="B39">
        <f>4.132+0.03</f>
        <v>4.1619999999999999</v>
      </c>
    </row>
    <row r="41" spans="1:5">
      <c r="A41" t="s">
        <v>3</v>
      </c>
      <c r="B41" t="s">
        <v>1</v>
      </c>
      <c r="C41" t="s">
        <v>2</v>
      </c>
    </row>
    <row r="42" spans="1:5">
      <c r="A42">
        <v>1</v>
      </c>
      <c r="B42" s="3">
        <f>+$B$6+B37*SIN(E34)</f>
        <v>1054.2159733088117</v>
      </c>
      <c r="C42" s="3">
        <f>+$C$6+B37*COS(E34)</f>
        <v>2002.3853758516361</v>
      </c>
    </row>
    <row r="43" spans="1:5">
      <c r="A43">
        <v>2</v>
      </c>
      <c r="B43" s="3">
        <f>+$B$6+B38*SIN(E35)</f>
        <v>1054.2297708750773</v>
      </c>
      <c r="C43" s="3">
        <f>+$C$6+B38*COS(E35)</f>
        <v>1986.4667688404718</v>
      </c>
    </row>
    <row r="44" spans="1:5">
      <c r="A44">
        <v>3</v>
      </c>
      <c r="B44" s="3">
        <f>+$B$6+B39*SIN(E36)</f>
        <v>1048.5902291249229</v>
      </c>
      <c r="C44" s="3">
        <f>+$C$6+B39*COS(E36)</f>
        <v>1986.4667688404718</v>
      </c>
    </row>
    <row r="46" spans="1:5">
      <c r="A46" t="s">
        <v>70</v>
      </c>
    </row>
    <row r="48" spans="1:5">
      <c r="A48" t="s">
        <v>71</v>
      </c>
      <c r="B48" s="3">
        <f>+SQRT((B42-B43)^2+(C42-C43)^2)</f>
        <v>15.918612990732745</v>
      </c>
    </row>
    <row r="49" spans="1:6">
      <c r="A49" t="s">
        <v>72</v>
      </c>
      <c r="B49" s="3">
        <f>+SQRT((B42-B44)^2+(C42-C44)^2)</f>
        <v>16.883454824130332</v>
      </c>
    </row>
    <row r="50" spans="1:6">
      <c r="A50" t="s">
        <v>73</v>
      </c>
      <c r="B50" s="3">
        <f>+SQRT((B43-B44)^2+(C43-C44)^2)</f>
        <v>5.6395417501544216</v>
      </c>
    </row>
    <row r="52" spans="1:6">
      <c r="A52" t="s">
        <v>74</v>
      </c>
    </row>
    <row r="54" spans="1:6">
      <c r="B54">
        <f>+ACOS(((B50^2)+(B48^2)-(B49^2))/(2*B50*B48))</f>
        <v>1.5699295698732223</v>
      </c>
      <c r="C54">
        <f>+B54*180/PI()</f>
        <v>89.950338486524316</v>
      </c>
      <c r="D54">
        <f>+INT(C54)</f>
        <v>89</v>
      </c>
      <c r="E54">
        <f>+INT((C54-D54)*60)</f>
        <v>57</v>
      </c>
      <c r="F54" s="4">
        <f>+((C54-D54)*60-E54)*60</f>
        <v>1.2185514875386616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29" sqref="D29"/>
    </sheetView>
  </sheetViews>
  <sheetFormatPr baseColWidth="10" defaultRowHeight="15"/>
  <sheetData>
    <row r="1" spans="1:7">
      <c r="A1" s="5" t="s">
        <v>97</v>
      </c>
      <c r="B1" s="5" t="s">
        <v>98</v>
      </c>
      <c r="C1" s="5" t="s">
        <v>99</v>
      </c>
      <c r="D1" s="5" t="s">
        <v>100</v>
      </c>
    </row>
    <row r="2" spans="1:7">
      <c r="A2" s="5" t="s">
        <v>0</v>
      </c>
      <c r="B2" s="5">
        <v>1.538</v>
      </c>
      <c r="C2" s="5">
        <v>1.448</v>
      </c>
      <c r="D2" s="5">
        <v>1.357</v>
      </c>
    </row>
    <row r="3" spans="1:7">
      <c r="A3" s="5" t="s">
        <v>23</v>
      </c>
      <c r="B3" s="5">
        <v>1.538</v>
      </c>
      <c r="C3" s="5">
        <v>1.2949999999999999</v>
      </c>
      <c r="D3" s="5">
        <v>1.052</v>
      </c>
      <c r="G3" t="s">
        <v>109</v>
      </c>
    </row>
    <row r="4" spans="1:7">
      <c r="A4" s="11" t="s">
        <v>106</v>
      </c>
      <c r="B4" t="s">
        <v>107</v>
      </c>
      <c r="C4" t="s">
        <v>108</v>
      </c>
      <c r="F4">
        <f>30+5/100</f>
        <v>30.05</v>
      </c>
      <c r="G4">
        <f>+F4*PI()/200</f>
        <v>0.47202429620186642</v>
      </c>
    </row>
    <row r="6" spans="1:7">
      <c r="A6" s="6" t="s">
        <v>101</v>
      </c>
      <c r="B6">
        <f>+(B2-D2)*100</f>
        <v>18.100000000000005</v>
      </c>
    </row>
    <row r="7" spans="1:7">
      <c r="A7" s="6" t="s">
        <v>102</v>
      </c>
      <c r="B7">
        <f>+(B3-D3)*100</f>
        <v>48.6</v>
      </c>
    </row>
    <row r="9" spans="1:7">
      <c r="A9" t="s">
        <v>103</v>
      </c>
      <c r="B9" s="7">
        <f>+((B2+D2)/2)-C2</f>
        <v>-4.9999999999994493E-4</v>
      </c>
      <c r="C9" t="s">
        <v>105</v>
      </c>
    </row>
    <row r="10" spans="1:7">
      <c r="A10" t="s">
        <v>104</v>
      </c>
      <c r="B10">
        <f>+((B3+D3)/2)-C3</f>
        <v>0</v>
      </c>
    </row>
    <row r="13" spans="1:7">
      <c r="A13" s="8">
        <f>+SQRT(B6^2+B7^2-COS(G4)*2*B6*B7)</f>
        <v>33.505703905906145</v>
      </c>
      <c r="B13" t="s">
        <v>110</v>
      </c>
    </row>
    <row r="15" spans="1:7">
      <c r="A15" t="s">
        <v>111</v>
      </c>
    </row>
    <row r="16" spans="1:7">
      <c r="A16" t="s">
        <v>112</v>
      </c>
      <c r="B16">
        <v>100</v>
      </c>
      <c r="D16">
        <f>+B16^2*B17^2</f>
        <v>0.01</v>
      </c>
    </row>
    <row r="17" spans="1:5">
      <c r="A17" t="s">
        <v>113</v>
      </c>
      <c r="B17">
        <f>1/1000</f>
        <v>1E-3</v>
      </c>
      <c r="D17">
        <f>+(-B16^2)*B17^2</f>
        <v>0.01</v>
      </c>
    </row>
    <row r="18" spans="1:5">
      <c r="D18">
        <f>+D17+D16</f>
        <v>0.02</v>
      </c>
    </row>
    <row r="19" spans="1:5">
      <c r="C19" t="s">
        <v>111</v>
      </c>
      <c r="D19">
        <f>+SQRT(D18)</f>
        <v>0.1414213562373095</v>
      </c>
    </row>
    <row r="22" spans="1:5">
      <c r="A22" t="s">
        <v>114</v>
      </c>
      <c r="D22">
        <f>+(B6-B7*COS(G4))/A13</f>
        <v>-0.7516802158745588</v>
      </c>
      <c r="E22">
        <f>+D22*D22</f>
        <v>0.56502314693722333</v>
      </c>
    </row>
    <row r="23" spans="1:5">
      <c r="A23" t="s">
        <v>115</v>
      </c>
      <c r="D23">
        <f>+(B7-B6*COS(G4))/A13</f>
        <v>0.96936452290608388</v>
      </c>
      <c r="E23">
        <f>+D23*D23</f>
        <v>0.93966757826893965</v>
      </c>
    </row>
    <row r="24" spans="1:5">
      <c r="A24" t="s">
        <v>116</v>
      </c>
      <c r="D24">
        <f>+B6*B7*SIN(G4)/A13</f>
        <v>11.937452275586132</v>
      </c>
      <c r="E24">
        <f>+D24*D24</f>
        <v>142.50276683189654</v>
      </c>
    </row>
    <row r="26" spans="1:5">
      <c r="A26" t="s">
        <v>111</v>
      </c>
      <c r="B26">
        <f>+D19</f>
        <v>0.1414213562373095</v>
      </c>
      <c r="C26">
        <f>+B26*B26</f>
        <v>0.02</v>
      </c>
    </row>
    <row r="27" spans="1:5">
      <c r="A27" t="s">
        <v>117</v>
      </c>
      <c r="B27">
        <f>0.5*PI()/200</f>
        <v>7.8539816339744835E-3</v>
      </c>
      <c r="C27">
        <f>+B27*B27</f>
        <v>6.1685027506808493E-5</v>
      </c>
    </row>
    <row r="29" spans="1:5">
      <c r="A29" t="s">
        <v>118</v>
      </c>
      <c r="C29">
        <f>+E22*C26+E23*C26+E24*C27</f>
        <v>3.8884101595945117E-2</v>
      </c>
      <c r="D29">
        <f>+SQRT(C29)</f>
        <v>0.19719052106007814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  <vt:lpstr>Ejercicio 11</vt:lpstr>
      <vt:lpstr>Ejercicio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UTE</cp:lastModifiedBy>
  <dcterms:created xsi:type="dcterms:W3CDTF">2025-05-14T13:22:44Z</dcterms:created>
  <dcterms:modified xsi:type="dcterms:W3CDTF">2025-05-30T20:19:07Z</dcterms:modified>
</cp:coreProperties>
</file>