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finguy-my.sharepoint.com/personal/mfcamisay_fing_edu_uy/Documents/Geodesia_Astronomica/Practicos/"/>
    </mc:Choice>
  </mc:AlternateContent>
  <xr:revisionPtr revIDLastSave="430" documentId="8_{3FADAB3D-60D3-4215-B349-F132C713997E}" xr6:coauthVersionLast="47" xr6:coauthVersionMax="47" xr10:uidLastSave="{EFCB8271-695E-467F-9A67-8E09F3143FBA}"/>
  <bookViews>
    <workbookView xWindow="-108" yWindow="-108" windowWidth="23256" windowHeight="12576" activeTab="6" xr2:uid="{C388DB7D-FDF4-4D2C-A45B-FEEBED7A013E}"/>
  </bookViews>
  <sheets>
    <sheet name="ej1" sheetId="1" r:id="rId1"/>
    <sheet name="ej 2" sheetId="2" r:id="rId2"/>
    <sheet name="ej 3" sheetId="3" r:id="rId3"/>
    <sheet name="ej 4" sheetId="4" r:id="rId4"/>
    <sheet name="ej 5" sheetId="6" r:id="rId5"/>
    <sheet name="ej 6" sheetId="7" r:id="rId6"/>
    <sheet name="ej 7" sheetId="8" r:id="rId7"/>
    <sheet name="ej8" sheetId="9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8" i="6" l="1"/>
  <c r="E8" i="6"/>
  <c r="G8" i="6"/>
  <c r="E24" i="8"/>
  <c r="G24" i="8"/>
  <c r="F24" i="8"/>
  <c r="J24" i="8"/>
  <c r="K24" i="8"/>
  <c r="L24" i="8" s="1"/>
  <c r="H24" i="8"/>
  <c r="I24" i="8" s="1"/>
  <c r="D19" i="8"/>
  <c r="H13" i="6"/>
  <c r="I13" i="6" s="1"/>
  <c r="F13" i="6"/>
  <c r="I8" i="6"/>
  <c r="H8" i="6"/>
  <c r="F8" i="6"/>
  <c r="B4" i="6"/>
  <c r="E19" i="8"/>
  <c r="F19" i="8"/>
  <c r="G19" i="8"/>
  <c r="B6" i="8"/>
  <c r="B5" i="8"/>
  <c r="C1" i="8"/>
  <c r="D1" i="8" s="1"/>
  <c r="C1" i="7"/>
  <c r="D1" i="7"/>
  <c r="C24" i="8" l="1"/>
  <c r="A24" i="8" s="1"/>
  <c r="J26" i="8" s="1"/>
  <c r="M24" i="8"/>
  <c r="N24" i="8" s="1"/>
  <c r="F8" i="7"/>
  <c r="C4" i="7"/>
  <c r="D4" i="7"/>
  <c r="B5" i="7"/>
  <c r="C17" i="7" s="1"/>
  <c r="D17" i="7" s="1"/>
  <c r="B4" i="7"/>
  <c r="H8" i="7"/>
  <c r="I8" i="7" s="1"/>
  <c r="A8" i="7"/>
  <c r="C8" i="7" s="1"/>
  <c r="E8" i="7" s="1"/>
  <c r="G8" i="7" s="1"/>
  <c r="J8" i="7" s="1"/>
  <c r="B13" i="7" s="1"/>
  <c r="B16" i="7" s="1"/>
  <c r="C16" i="7" s="1"/>
  <c r="D16" i="7" s="1"/>
  <c r="H19" i="8"/>
  <c r="I19" i="8" s="1"/>
  <c r="E3" i="8"/>
  <c r="B3" i="8"/>
  <c r="D5" i="6"/>
  <c r="B5" i="6"/>
  <c r="B6" i="6" s="1"/>
  <c r="B3" i="6"/>
  <c r="D11" i="2"/>
  <c r="D3" i="4"/>
  <c r="E3" i="4" s="1"/>
  <c r="F3" i="4"/>
  <c r="A3" i="4"/>
  <c r="H3" i="4"/>
  <c r="I3" i="4" s="1"/>
  <c r="A7" i="3"/>
  <c r="C7" i="3" s="1"/>
  <c r="E7" i="3" s="1"/>
  <c r="F7" i="3"/>
  <c r="F3" i="3"/>
  <c r="A3" i="3"/>
  <c r="C3" i="3" s="1"/>
  <c r="E3" i="3" s="1"/>
  <c r="H7" i="3"/>
  <c r="I7" i="3" s="1"/>
  <c r="H3" i="3"/>
  <c r="I3" i="3" s="1"/>
  <c r="E11" i="2"/>
  <c r="H11" i="2"/>
  <c r="I11" i="2" s="1"/>
  <c r="F11" i="2"/>
  <c r="A11" i="2"/>
  <c r="C11" i="2" s="1"/>
  <c r="F7" i="2"/>
  <c r="H7" i="2"/>
  <c r="I7" i="2" s="1"/>
  <c r="A7" i="2"/>
  <c r="C7" i="2" s="1"/>
  <c r="E7" i="2" s="1"/>
  <c r="G7" i="2" s="1"/>
  <c r="J7" i="2" s="1"/>
  <c r="K3" i="2"/>
  <c r="H3" i="2"/>
  <c r="I3" i="2" s="1"/>
  <c r="F3" i="2"/>
  <c r="A3" i="2"/>
  <c r="C3" i="2" s="1"/>
  <c r="E3" i="2" s="1"/>
  <c r="G3" i="2" s="1"/>
  <c r="J3" i="2" s="1"/>
  <c r="K26" i="8" l="1"/>
  <c r="L26" i="8" s="1"/>
  <c r="I16" i="7"/>
  <c r="J16" i="7" s="1"/>
  <c r="K16" i="7" s="1"/>
  <c r="L16" i="7" s="1"/>
  <c r="M16" i="7" s="1"/>
  <c r="N16" i="7" s="1"/>
  <c r="H16" i="7"/>
  <c r="I17" i="7"/>
  <c r="J17" i="7" s="1"/>
  <c r="K17" i="7" s="1"/>
  <c r="L17" i="7" s="1"/>
  <c r="D5" i="7"/>
  <c r="J13" i="6"/>
  <c r="J8" i="6"/>
  <c r="C3" i="8"/>
  <c r="D9" i="8" s="1"/>
  <c r="C9" i="8"/>
  <c r="F3" i="8"/>
  <c r="D10" i="8" s="1"/>
  <c r="C10" i="8"/>
  <c r="K8" i="7"/>
  <c r="G3" i="4"/>
  <c r="J3" i="4" s="1"/>
  <c r="G7" i="3"/>
  <c r="G3" i="3"/>
  <c r="J3" i="3" s="1"/>
  <c r="J7" i="3"/>
  <c r="G11" i="2"/>
  <c r="J11" i="2" s="1"/>
  <c r="K11" i="2" s="1"/>
  <c r="L11" i="2" s="1"/>
  <c r="K7" i="2"/>
  <c r="L7" i="2" s="1"/>
  <c r="L3" i="2"/>
  <c r="M26" i="8" l="1"/>
  <c r="N26" i="8" s="1"/>
  <c r="C8" i="6"/>
  <c r="A8" i="6" s="1"/>
  <c r="J10" i="6" s="1"/>
  <c r="K10" i="6" s="1"/>
  <c r="L10" i="6" s="1"/>
  <c r="M10" i="6" s="1"/>
  <c r="N10" i="6" s="1"/>
  <c r="K8" i="6"/>
  <c r="L8" i="6" s="1"/>
  <c r="M8" i="6" s="1"/>
  <c r="N8" i="6" s="1"/>
  <c r="G13" i="6"/>
  <c r="E13" i="6" s="1"/>
  <c r="K13" i="6"/>
  <c r="L13" i="6" s="1"/>
  <c r="M13" i="6" s="1"/>
  <c r="N13" i="6" s="1"/>
  <c r="I9" i="8"/>
  <c r="J9" i="8" s="1"/>
  <c r="K9" i="8" s="1"/>
  <c r="L9" i="8" s="1"/>
  <c r="M9" i="8" s="1"/>
  <c r="N9" i="8" s="1"/>
  <c r="H9" i="8"/>
  <c r="M17" i="7"/>
  <c r="N17" i="7" s="1"/>
  <c r="L8" i="7"/>
  <c r="M8" i="7" s="1"/>
  <c r="N8" i="7" s="1"/>
  <c r="K3" i="4"/>
  <c r="L3" i="4" s="1"/>
  <c r="K7" i="3"/>
  <c r="L7" i="3" s="1"/>
  <c r="K3" i="3"/>
  <c r="L3" i="3" s="1"/>
  <c r="M11" i="2"/>
  <c r="N11" i="2" s="1"/>
  <c r="N13" i="2" s="1"/>
  <c r="M7" i="2"/>
  <c r="N7" i="2" s="1"/>
  <c r="M3" i="2"/>
  <c r="N3" i="2" s="1"/>
  <c r="C13" i="6" l="1"/>
  <c r="A13" i="6" s="1"/>
  <c r="J15" i="6" s="1"/>
  <c r="K15" i="6" s="1"/>
  <c r="L15" i="6" s="1"/>
  <c r="M15" i="6" s="1"/>
  <c r="N15" i="6" s="1"/>
  <c r="J10" i="8"/>
  <c r="M3" i="4"/>
  <c r="N3" i="4" s="1"/>
  <c r="M3" i="3"/>
  <c r="N3" i="3" s="1"/>
  <c r="M7" i="3"/>
  <c r="N7" i="3" s="1"/>
  <c r="K10" i="8" l="1"/>
  <c r="L10" i="8" s="1"/>
  <c r="M10" i="8" s="1"/>
  <c r="N10" i="8" s="1"/>
  <c r="B13" i="8"/>
  <c r="J19" i="8" s="1"/>
  <c r="N10" i="3"/>
  <c r="C19" i="8" l="1"/>
  <c r="A19" i="8" s="1"/>
  <c r="K19" i="8"/>
  <c r="L19" i="8" s="1"/>
  <c r="M19" i="8" s="1"/>
  <c r="N19" i="8" s="1"/>
  <c r="K21" i="8" l="1"/>
  <c r="L21" i="8" s="1"/>
  <c r="M21" i="8" s="1"/>
  <c r="N21" i="8" s="1"/>
  <c r="J21" i="8"/>
</calcChain>
</file>

<file path=xl/sharedStrings.xml><?xml version="1.0" encoding="utf-8"?>
<sst xmlns="http://schemas.openxmlformats.org/spreadsheetml/2006/main" count="207" uniqueCount="67">
  <si>
    <t>ej1</t>
  </si>
  <si>
    <t>Et</t>
  </si>
  <si>
    <t>13' 20,837''</t>
  </si>
  <si>
    <t>3' 38,406''</t>
  </si>
  <si>
    <t>-3'4,754''</t>
  </si>
  <si>
    <t>tv-tm</t>
  </si>
  <si>
    <t>tm adelantado</t>
  </si>
  <si>
    <t>HL</t>
  </si>
  <si>
    <t>UT</t>
  </si>
  <si>
    <t>Correccion</t>
  </si>
  <si>
    <t>IS</t>
  </si>
  <si>
    <t>TS og</t>
  </si>
  <si>
    <t>TS g</t>
  </si>
  <si>
    <t>Lon</t>
  </si>
  <si>
    <t>Lon (h)</t>
  </si>
  <si>
    <t>TSL</t>
  </si>
  <si>
    <t>22/9/24 18:50 HS facultad</t>
  </si>
  <si>
    <t>APARENTE</t>
  </si>
  <si>
    <t>MEDIO</t>
  </si>
  <si>
    <t>Huso</t>
  </si>
  <si>
    <t>Comp. Aditivo</t>
  </si>
  <si>
    <t>dif</t>
  </si>
  <si>
    <t>25/10/24 18:29 HS facultad</t>
  </si>
  <si>
    <t>12/7/24 22 HS facultad</t>
  </si>
  <si>
    <t>MEDIO (13/7)</t>
  </si>
  <si>
    <t>AR</t>
  </si>
  <si>
    <t>H</t>
  </si>
  <si>
    <t>M</t>
  </si>
  <si>
    <t>S</t>
  </si>
  <si>
    <t>1495 114 G. SAGITTARII</t>
  </si>
  <si>
    <t>Lon (VA)</t>
  </si>
  <si>
    <t>TSL AP</t>
  </si>
  <si>
    <t>7/7/24 FACULTAD</t>
  </si>
  <si>
    <t>EE</t>
  </si>
  <si>
    <t>Comp. Sustractivo</t>
  </si>
  <si>
    <t>194 beta orionis</t>
  </si>
  <si>
    <t>AZ</t>
  </si>
  <si>
    <t>z</t>
  </si>
  <si>
    <t>rad</t>
  </si>
  <si>
    <t>455 DELTA CRUCIS</t>
  </si>
  <si>
    <t>HO?</t>
  </si>
  <si>
    <t>AZ ? Z?</t>
  </si>
  <si>
    <t>TSL=AR+H</t>
  </si>
  <si>
    <t>H=TSL-AR</t>
  </si>
  <si>
    <t>DEC</t>
  </si>
  <si>
    <t>RAD</t>
  </si>
  <si>
    <t>HS</t>
  </si>
  <si>
    <t>horas</t>
  </si>
  <si>
    <t>grados</t>
  </si>
  <si>
    <t>tg</t>
  </si>
  <si>
    <t>dec</t>
  </si>
  <si>
    <t>Z</t>
  </si>
  <si>
    <t>8/3/24 FACULTAD LAT</t>
  </si>
  <si>
    <t>G</t>
  </si>
  <si>
    <t>23/12/24  FACULTAD</t>
  </si>
  <si>
    <t>GRADOS</t>
  </si>
  <si>
    <t>1ER</t>
  </si>
  <si>
    <t>latitud -34</t>
  </si>
  <si>
    <t>latitud +34°</t>
  </si>
  <si>
    <t>latitud 0°</t>
  </si>
  <si>
    <t>latitud 90°</t>
  </si>
  <si>
    <t>latitud -90°</t>
  </si>
  <si>
    <t>7h41m30,639</t>
  </si>
  <si>
    <t>TSL MED</t>
  </si>
  <si>
    <t>Coef. Correctivo</t>
  </si>
  <si>
    <t>MEDIO 7/7</t>
  </si>
  <si>
    <t>14h1m22,15s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</si>
</sst>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0000000"/>
  </numFmts>
  <fonts count="7" x14ac:knownFonts="1">
    <font>
      <sz val="11"/>
      <color theme="1"/>
      <name val="Aptos Narrow"/>
      <family val="2"/>
      <scheme val="minor"/>
    </font>
    <font>
      <sz val="11"/>
      <color rgb="FFFF000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9"/>
      <name val="Aptos Narrow"/>
      <family val="2"/>
      <scheme val="minor"/>
    </font>
    <font>
      <sz val="11"/>
      <name val="Aptos Narrow"/>
      <family val="2"/>
      <scheme val="minor"/>
    </font>
    <font>
      <b/>
      <sz val="11"/>
      <name val="Aptos Narrow"/>
      <family val="2"/>
      <scheme val="minor"/>
    </font>
    <font>
      <sz val="11"/>
      <color theme="6"/>
      <name val="Aptos Narrow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0">
    <xf numFmtId="0" fontId="0" fillId="0" borderId="0" xfId="0"/>
    <xf numFmtId="14" fontId="0" fillId="0" borderId="0" xfId="0" applyNumberFormat="1"/>
    <xf numFmtId="0" fontId="0" fillId="0" borderId="0" xfId="0" quotePrefix="1"/>
    <xf numFmtId="0" fontId="0" fillId="2" borderId="0" xfId="0" applyFill="1"/>
    <xf numFmtId="0" fontId="1" fillId="0" borderId="0" xfId="0" applyFont="1"/>
    <xf numFmtId="0" fontId="1" fillId="2" borderId="0" xfId="0" applyFont="1" applyFill="1"/>
    <xf numFmtId="0" fontId="0" fillId="3" borderId="0" xfId="0" applyFill="1"/>
    <xf numFmtId="164" fontId="0" fillId="0" borderId="0" xfId="0" applyNumberFormat="1"/>
    <xf numFmtId="164" fontId="0" fillId="2" borderId="0" xfId="0" applyNumberFormat="1" applyFill="1"/>
    <xf numFmtId="164" fontId="0" fillId="3" borderId="0" xfId="0" applyNumberFormat="1" applyFill="1"/>
    <xf numFmtId="0" fontId="0" fillId="4" borderId="0" xfId="0" applyFill="1"/>
    <xf numFmtId="0" fontId="0" fillId="0" borderId="0" xfId="0" applyAlignment="1">
      <alignment horizontal="right"/>
    </xf>
    <xf numFmtId="0" fontId="0" fillId="5" borderId="0" xfId="0" applyFill="1"/>
    <xf numFmtId="0" fontId="3" fillId="0" borderId="0" xfId="0" applyFont="1"/>
    <xf numFmtId="0" fontId="0" fillId="3" borderId="0" xfId="0" applyFill="1" applyAlignment="1">
      <alignment horizontal="right"/>
    </xf>
    <xf numFmtId="0" fontId="4" fillId="3" borderId="0" xfId="0" applyFont="1" applyFill="1"/>
    <xf numFmtId="2" fontId="4" fillId="3" borderId="0" xfId="0" applyNumberFormat="1" applyFont="1" applyFill="1"/>
    <xf numFmtId="0" fontId="0" fillId="3" borderId="0" xfId="0" quotePrefix="1" applyFill="1"/>
    <xf numFmtId="1" fontId="4" fillId="3" borderId="0" xfId="0" applyNumberFormat="1" applyFont="1" applyFill="1"/>
    <xf numFmtId="0" fontId="2" fillId="0" borderId="0" xfId="0" applyFont="1"/>
    <xf numFmtId="0" fontId="0" fillId="0" borderId="0" xfId="0" applyAlignment="1">
      <alignment horizontal="left"/>
    </xf>
    <xf numFmtId="0" fontId="4" fillId="0" borderId="0" xfId="0" applyFont="1"/>
    <xf numFmtId="2" fontId="5" fillId="0" borderId="0" xfId="0" applyNumberFormat="1" applyFont="1"/>
    <xf numFmtId="165" fontId="0" fillId="0" borderId="0" xfId="0" applyNumberFormat="1"/>
    <xf numFmtId="0" fontId="6" fillId="0" borderId="0" xfId="0" applyFont="1"/>
    <xf numFmtId="0" fontId="0" fillId="6" borderId="0" xfId="0" applyFill="1"/>
    <xf numFmtId="164" fontId="0" fillId="6" borderId="0" xfId="0" applyNumberFormat="1" applyFill="1"/>
    <xf numFmtId="2" fontId="0" fillId="0" borderId="0" xfId="0" applyNumberFormat="1"/>
    <xf numFmtId="164" fontId="4" fillId="3" borderId="0" xfId="0" applyNumberFormat="1" applyFont="1" applyFill="1"/>
    <xf numFmtId="164" fontId="0" fillId="4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66675</xdr:colOff>
      <xdr:row>4</xdr:row>
      <xdr:rowOff>161925</xdr:rowOff>
    </xdr:from>
    <xdr:to>
      <xdr:col>13</xdr:col>
      <xdr:colOff>342900</xdr:colOff>
      <xdr:row>5</xdr:row>
      <xdr:rowOff>57150</xdr:rowOff>
    </xdr:to>
    <xdr:sp macro="" textlink="">
      <xdr:nvSpPr>
        <xdr:cNvPr id="2" name="Flecha: a la derecha 1">
          <a:extLst>
            <a:ext uri="{FF2B5EF4-FFF2-40B4-BE49-F238E27FC236}">
              <a16:creationId xmlns:a16="http://schemas.microsoft.com/office/drawing/2014/main" id="{9710E77A-89F0-4C23-A486-53E045A218A4}"/>
            </a:ext>
          </a:extLst>
        </xdr:cNvPr>
        <xdr:cNvSpPr/>
      </xdr:nvSpPr>
      <xdr:spPr>
        <a:xfrm rot="10800000">
          <a:off x="7219950" y="923925"/>
          <a:ext cx="514350" cy="85725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UY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614457</xdr:colOff>
      <xdr:row>9</xdr:row>
      <xdr:rowOff>142875</xdr:rowOff>
    </xdr:from>
    <xdr:to>
      <xdr:col>17</xdr:col>
      <xdr:colOff>214407</xdr:colOff>
      <xdr:row>12</xdr:row>
      <xdr:rowOff>52095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EA48076-5FF9-4EC7-AFA3-0412C760E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39407" y="1857375"/>
          <a:ext cx="1885950" cy="480720"/>
        </a:xfrm>
        <a:prstGeom prst="rect">
          <a:avLst/>
        </a:prstGeom>
      </xdr:spPr>
    </xdr:pic>
    <xdr:clientData/>
  </xdr:twoCellAnchor>
  <xdr:twoCellAnchor editAs="oneCell">
    <xdr:from>
      <xdr:col>14</xdr:col>
      <xdr:colOff>581025</xdr:colOff>
      <xdr:row>12</xdr:row>
      <xdr:rowOff>134098</xdr:rowOff>
    </xdr:from>
    <xdr:to>
      <xdr:col>20</xdr:col>
      <xdr:colOff>403533</xdr:colOff>
      <xdr:row>16</xdr:row>
      <xdr:rowOff>141542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6A07BC3-9A40-48EE-A346-C3339D527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06075" y="2420098"/>
          <a:ext cx="4394508" cy="769444"/>
        </a:xfrm>
        <a:prstGeom prst="rect">
          <a:avLst/>
        </a:prstGeom>
      </xdr:spPr>
    </xdr:pic>
    <xdr:clientData/>
  </xdr:twoCellAnchor>
  <xdr:twoCellAnchor editAs="oneCell">
    <xdr:from>
      <xdr:col>14</xdr:col>
      <xdr:colOff>634253</xdr:colOff>
      <xdr:row>17</xdr:row>
      <xdr:rowOff>44329</xdr:rowOff>
    </xdr:from>
    <xdr:to>
      <xdr:col>18</xdr:col>
      <xdr:colOff>342349</xdr:colOff>
      <xdr:row>19</xdr:row>
      <xdr:rowOff>38311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77360ED-1794-4A48-89A1-2B9D7824A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759203" y="3282829"/>
          <a:ext cx="2756096" cy="37498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171450</xdr:colOff>
      <xdr:row>15</xdr:row>
      <xdr:rowOff>133350</xdr:rowOff>
    </xdr:from>
    <xdr:to>
      <xdr:col>13</xdr:col>
      <xdr:colOff>180975</xdr:colOff>
      <xdr:row>16</xdr:row>
      <xdr:rowOff>28575</xdr:rowOff>
    </xdr:to>
    <xdr:sp macro="" textlink="">
      <xdr:nvSpPr>
        <xdr:cNvPr id="2" name="Flecha: a la derecha 1">
          <a:extLst>
            <a:ext uri="{FF2B5EF4-FFF2-40B4-BE49-F238E27FC236}">
              <a16:creationId xmlns:a16="http://schemas.microsoft.com/office/drawing/2014/main" id="{9F818A4B-1FBC-45F0-AFE3-CE6BBDDE087D}"/>
            </a:ext>
          </a:extLst>
        </xdr:cNvPr>
        <xdr:cNvSpPr/>
      </xdr:nvSpPr>
      <xdr:spPr>
        <a:xfrm rot="10800000">
          <a:off x="7696200" y="3562350"/>
          <a:ext cx="828675" cy="85725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UY" sz="1100"/>
        </a:p>
      </xdr:txBody>
    </xdr:sp>
    <xdr:clientData/>
  </xdr:twoCellAnchor>
  <xdr:twoCellAnchor editAs="oneCell">
    <xdr:from>
      <xdr:col>15</xdr:col>
      <xdr:colOff>180975</xdr:colOff>
      <xdr:row>3</xdr:row>
      <xdr:rowOff>85725</xdr:rowOff>
    </xdr:from>
    <xdr:to>
      <xdr:col>18</xdr:col>
      <xdr:colOff>89635</xdr:colOff>
      <xdr:row>6</xdr:row>
      <xdr:rowOff>34099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0D61AD1-CCC0-4A37-B170-D3215773C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48875" y="657225"/>
          <a:ext cx="2194660" cy="519874"/>
        </a:xfrm>
        <a:prstGeom prst="rect">
          <a:avLst/>
        </a:prstGeom>
      </xdr:spPr>
    </xdr:pic>
    <xdr:clientData/>
  </xdr:twoCellAnchor>
  <xdr:twoCellAnchor editAs="oneCell">
    <xdr:from>
      <xdr:col>15</xdr:col>
      <xdr:colOff>94297</xdr:colOff>
      <xdr:row>6</xdr:row>
      <xdr:rowOff>169545</xdr:rowOff>
    </xdr:from>
    <xdr:to>
      <xdr:col>20</xdr:col>
      <xdr:colOff>742232</xdr:colOff>
      <xdr:row>11</xdr:row>
      <xdr:rowOff>117250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492E432-83F2-438A-B6E9-02F93EC5E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05097" y="1266825"/>
          <a:ext cx="4610335" cy="86210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4</xdr:col>
      <xdr:colOff>739141</xdr:colOff>
      <xdr:row>22</xdr:row>
      <xdr:rowOff>176801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2D7F67A-3FB2-F9D5-27B1-2F7163079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"/>
          <a:ext cx="3909060" cy="4200160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0</xdr:row>
      <xdr:rowOff>0</xdr:rowOff>
    </xdr:from>
    <xdr:to>
      <xdr:col>10</xdr:col>
      <xdr:colOff>754381</xdr:colOff>
      <xdr:row>22</xdr:row>
      <xdr:rowOff>169320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7B31CE0-D237-26EB-FFDD-C3E87948F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54881" y="0"/>
          <a:ext cx="3924300" cy="41926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182879</xdr:rowOff>
    </xdr:from>
    <xdr:to>
      <xdr:col>4</xdr:col>
      <xdr:colOff>685800</xdr:colOff>
      <xdr:row>46</xdr:row>
      <xdr:rowOff>94022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7FAFF77-0007-80FD-0B0A-2F17A687D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571999"/>
          <a:ext cx="3855720" cy="3934503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25</xdr:row>
      <xdr:rowOff>1</xdr:rowOff>
    </xdr:from>
    <xdr:to>
      <xdr:col>10</xdr:col>
      <xdr:colOff>337415</xdr:colOff>
      <xdr:row>46</xdr:row>
      <xdr:rowOff>99061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5AC507B-012F-4428-388E-6C5B4C7C3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54881" y="4572001"/>
          <a:ext cx="3507334" cy="393954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25</xdr:row>
      <xdr:rowOff>0</xdr:rowOff>
    </xdr:from>
    <xdr:to>
      <xdr:col>15</xdr:col>
      <xdr:colOff>152753</xdr:colOff>
      <xdr:row>46</xdr:row>
      <xdr:rowOff>99060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1BB08C8-DFCC-A234-A00D-88B7CDECE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717280" y="4572000"/>
          <a:ext cx="3322673" cy="393954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AAD79A-D8B4-4EB5-A31B-0957E3D3A1E6}">
  <dimension ref="A1:C4"/>
  <sheetViews>
    <sheetView workbookViewId="0">
      <selection activeCell="C36" sqref="C36"/>
    </sheetView>
  </sheetViews>
  <sheetFormatPr baseColWidth="10" defaultRowHeight="14.4" x14ac:dyDescent="0.3"/>
  <sheetData>
    <row r="1" spans="1:3" x14ac:dyDescent="0.3">
      <c r="A1" t="s">
        <v>0</v>
      </c>
      <c r="B1" t="s">
        <v>1</v>
      </c>
      <c r="C1" t="s">
        <v>5</v>
      </c>
    </row>
    <row r="2" spans="1:3" x14ac:dyDescent="0.3">
      <c r="A2" s="1">
        <v>45292</v>
      </c>
      <c r="B2" s="2" t="s">
        <v>4</v>
      </c>
      <c r="C2" t="s">
        <v>6</v>
      </c>
    </row>
    <row r="3" spans="1:3" x14ac:dyDescent="0.3">
      <c r="A3" s="1">
        <v>45427</v>
      </c>
      <c r="B3" t="s">
        <v>3</v>
      </c>
    </row>
    <row r="4" spans="1:3" x14ac:dyDescent="0.3">
      <c r="A4" s="1">
        <v>45620</v>
      </c>
      <c r="B4" t="s">
        <v>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71BB91-736C-4223-BFAF-02BF614253E6}">
  <dimension ref="A1:N13"/>
  <sheetViews>
    <sheetView workbookViewId="0">
      <selection activeCell="I7" sqref="I7"/>
    </sheetView>
  </sheetViews>
  <sheetFormatPr baseColWidth="10" defaultRowHeight="14.4" x14ac:dyDescent="0.3"/>
  <cols>
    <col min="5" max="5" width="16.44140625" bestFit="1" customWidth="1"/>
    <col min="10" max="10" width="4.44140625" customWidth="1"/>
    <col min="11" max="11" width="0" hidden="1" customWidth="1"/>
    <col min="12" max="12" width="3.5546875" customWidth="1"/>
    <col min="13" max="13" width="7.33203125" hidden="1" customWidth="1"/>
    <col min="14" max="14" width="11.44140625" style="7"/>
  </cols>
  <sheetData>
    <row r="1" spans="1:14" x14ac:dyDescent="0.3">
      <c r="A1" t="s">
        <v>16</v>
      </c>
      <c r="F1" s="4" t="s">
        <v>17</v>
      </c>
    </row>
    <row r="2" spans="1:14" x14ac:dyDescent="0.3">
      <c r="A2" s="3" t="s">
        <v>7</v>
      </c>
      <c r="B2" s="3" t="s">
        <v>19</v>
      </c>
      <c r="C2" s="3" t="s">
        <v>8</v>
      </c>
      <c r="D2" s="5" t="s">
        <v>9</v>
      </c>
      <c r="E2" s="3" t="s">
        <v>10</v>
      </c>
      <c r="F2" s="3" t="s">
        <v>11</v>
      </c>
      <c r="G2" s="3" t="s">
        <v>12</v>
      </c>
      <c r="H2" s="3" t="s">
        <v>13</v>
      </c>
      <c r="I2" s="3" t="s">
        <v>14</v>
      </c>
      <c r="J2" s="3" t="s">
        <v>15</v>
      </c>
      <c r="L2" s="3"/>
      <c r="M2" s="3"/>
      <c r="N2" s="8"/>
    </row>
    <row r="3" spans="1:14" x14ac:dyDescent="0.3">
      <c r="A3">
        <f>18+50/60</f>
        <v>18.833333333333332</v>
      </c>
      <c r="B3">
        <v>-3</v>
      </c>
      <c r="C3">
        <f>+A3-B3</f>
        <v>21.833333333333332</v>
      </c>
      <c r="D3">
        <v>1.002737909351</v>
      </c>
      <c r="E3">
        <f>+C3*D3</f>
        <v>21.893111020830165</v>
      </c>
      <c r="F3">
        <f>0+5/60+23.6616/3600</f>
        <v>8.9906E-2</v>
      </c>
      <c r="G3">
        <f>+E3+F3</f>
        <v>21.983017020830165</v>
      </c>
      <c r="H3">
        <f>-(56+10/60+3/3600)</f>
        <v>-56.167499999999997</v>
      </c>
      <c r="I3">
        <f>+H3/15</f>
        <v>-3.7444999999999999</v>
      </c>
      <c r="J3">
        <f>+G3+I3</f>
        <v>18.238517020830166</v>
      </c>
      <c r="K3">
        <f>+TRUNC(J3,0)</f>
        <v>18</v>
      </c>
      <c r="L3">
        <f>+(J3-K3)*60</f>
        <v>14.311021249809954</v>
      </c>
      <c r="M3">
        <f>+TRUNC(L3,0)</f>
        <v>14</v>
      </c>
      <c r="N3" s="7">
        <f>+(L3-M3)*60</f>
        <v>18.661274988597256</v>
      </c>
    </row>
    <row r="5" spans="1:14" x14ac:dyDescent="0.3">
      <c r="F5" s="4" t="s">
        <v>18</v>
      </c>
    </row>
    <row r="6" spans="1:14" x14ac:dyDescent="0.3">
      <c r="A6" s="3" t="s">
        <v>7</v>
      </c>
      <c r="B6" s="3" t="s">
        <v>19</v>
      </c>
      <c r="C6" s="3" t="s">
        <v>8</v>
      </c>
      <c r="D6" s="5" t="s">
        <v>9</v>
      </c>
      <c r="E6" s="3" t="s">
        <v>10</v>
      </c>
      <c r="F6" s="3" t="s">
        <v>11</v>
      </c>
      <c r="G6" s="3" t="s">
        <v>12</v>
      </c>
      <c r="H6" s="3" t="s">
        <v>13</v>
      </c>
      <c r="I6" s="3" t="s">
        <v>14</v>
      </c>
      <c r="J6" s="3" t="s">
        <v>15</v>
      </c>
      <c r="L6" s="3"/>
      <c r="M6" s="3"/>
      <c r="N6" s="8"/>
    </row>
    <row r="7" spans="1:14" x14ac:dyDescent="0.3">
      <c r="A7">
        <f>18+50/60</f>
        <v>18.833333333333332</v>
      </c>
      <c r="B7">
        <v>-3</v>
      </c>
      <c r="C7">
        <f>+A7-B7</f>
        <v>21.833333333333332</v>
      </c>
      <c r="D7">
        <v>1.002737909351</v>
      </c>
      <c r="E7" s="23">
        <f>+C7*D7</f>
        <v>21.893111020830165</v>
      </c>
      <c r="F7">
        <f>0+5/60+23.804/3600</f>
        <v>8.9945555555555556E-2</v>
      </c>
      <c r="G7">
        <f>+E7+F7</f>
        <v>21.983056576385721</v>
      </c>
      <c r="H7">
        <f>-(56+10/60+3/3600)</f>
        <v>-56.167499999999997</v>
      </c>
      <c r="I7">
        <f>+H7/15</f>
        <v>-3.7444999999999999</v>
      </c>
      <c r="J7">
        <f>+G7+I7</f>
        <v>18.238556576385722</v>
      </c>
      <c r="K7">
        <f>+TRUNC(J7,0)</f>
        <v>18</v>
      </c>
      <c r="L7">
        <f>+(J7-K7)*60</f>
        <v>14.313394583143335</v>
      </c>
      <c r="M7">
        <f>+TRUNC(L7,0)</f>
        <v>14</v>
      </c>
      <c r="N7" s="7">
        <f>+(L7-M7)*60</f>
        <v>18.803674988600108</v>
      </c>
    </row>
    <row r="9" spans="1:14" x14ac:dyDescent="0.3">
      <c r="F9" s="4" t="s">
        <v>18</v>
      </c>
    </row>
    <row r="10" spans="1:14" x14ac:dyDescent="0.3">
      <c r="A10" s="3" t="s">
        <v>7</v>
      </c>
      <c r="B10" s="3" t="s">
        <v>19</v>
      </c>
      <c r="C10" s="3" t="s">
        <v>8</v>
      </c>
      <c r="D10" s="5" t="s">
        <v>20</v>
      </c>
      <c r="E10" s="3" t="s">
        <v>10</v>
      </c>
      <c r="F10" s="3" t="s">
        <v>11</v>
      </c>
      <c r="G10" s="3" t="s">
        <v>12</v>
      </c>
      <c r="H10" s="3" t="s">
        <v>13</v>
      </c>
      <c r="I10" s="3" t="s">
        <v>14</v>
      </c>
      <c r="J10" s="3" t="s">
        <v>15</v>
      </c>
      <c r="L10" s="3"/>
      <c r="M10" s="3"/>
      <c r="N10" s="8"/>
    </row>
    <row r="11" spans="1:14" x14ac:dyDescent="0.3">
      <c r="A11">
        <f>18+50/60</f>
        <v>18.833333333333332</v>
      </c>
      <c r="B11">
        <v>-3</v>
      </c>
      <c r="C11">
        <f>+A11-B11</f>
        <v>21.833333333333332</v>
      </c>
      <c r="D11">
        <f>0+(3/60+26.986/3600)+8.214/3600</f>
        <v>5.9777777777777784E-2</v>
      </c>
      <c r="E11" s="23">
        <f>+C11+D11</f>
        <v>21.893111111111111</v>
      </c>
      <c r="F11">
        <f>0+5/60+23.804/3600</f>
        <v>8.9945555555555556E-2</v>
      </c>
      <c r="G11">
        <f>+E11+F11</f>
        <v>21.983056666666666</v>
      </c>
      <c r="H11">
        <f>-(56+10/60+3/3600)</f>
        <v>-56.167499999999997</v>
      </c>
      <c r="I11">
        <f>+H11/15</f>
        <v>-3.7444999999999999</v>
      </c>
      <c r="J11">
        <f>+G11+I11</f>
        <v>18.238556666666668</v>
      </c>
      <c r="K11">
        <f>+TRUNC(J11,0)</f>
        <v>18</v>
      </c>
      <c r="L11">
        <f>+(J11-K11)*60</f>
        <v>14.313400000000058</v>
      </c>
      <c r="M11">
        <f>+TRUNC(L11,0)</f>
        <v>14</v>
      </c>
      <c r="N11" s="7">
        <f>+(L11-M11)*60</f>
        <v>18.804000000003498</v>
      </c>
    </row>
    <row r="13" spans="1:14" x14ac:dyDescent="0.3">
      <c r="J13" s="6" t="s">
        <v>21</v>
      </c>
      <c r="K13" s="6"/>
      <c r="L13" s="6"/>
      <c r="N13" s="9">
        <f>+N7-N11</f>
        <v>-3.2501140339036283E-4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6FDC43-BE36-4E19-B69B-9C61A21F72A4}">
  <dimension ref="A1:N10"/>
  <sheetViews>
    <sheetView workbookViewId="0">
      <selection activeCell="D7" sqref="D7"/>
    </sheetView>
  </sheetViews>
  <sheetFormatPr baseColWidth="10" defaultRowHeight="14.4" x14ac:dyDescent="0.3"/>
  <cols>
    <col min="10" max="10" width="3.109375" customWidth="1"/>
    <col min="11" max="11" width="0" hidden="1" customWidth="1"/>
    <col min="12" max="12" width="3.5546875" customWidth="1"/>
    <col min="13" max="13" width="7.33203125" hidden="1" customWidth="1"/>
  </cols>
  <sheetData>
    <row r="1" spans="1:14" x14ac:dyDescent="0.3">
      <c r="A1" s="6" t="s">
        <v>22</v>
      </c>
      <c r="B1" s="6"/>
      <c r="F1" s="4" t="s">
        <v>17</v>
      </c>
    </row>
    <row r="2" spans="1:14" x14ac:dyDescent="0.3">
      <c r="A2" s="3" t="s">
        <v>7</v>
      </c>
      <c r="B2" s="3" t="s">
        <v>19</v>
      </c>
      <c r="C2" s="3" t="s">
        <v>8</v>
      </c>
      <c r="D2" s="5" t="s">
        <v>9</v>
      </c>
      <c r="E2" s="3" t="s">
        <v>10</v>
      </c>
      <c r="F2" s="3" t="s">
        <v>11</v>
      </c>
      <c r="G2" s="3" t="s">
        <v>12</v>
      </c>
      <c r="H2" s="3" t="s">
        <v>13</v>
      </c>
      <c r="I2" s="3" t="s">
        <v>14</v>
      </c>
      <c r="J2" s="3" t="s">
        <v>15</v>
      </c>
      <c r="L2" s="3"/>
      <c r="M2" s="3"/>
      <c r="N2" s="3"/>
    </row>
    <row r="3" spans="1:14" x14ac:dyDescent="0.3">
      <c r="A3">
        <f>18+29/60</f>
        <v>18.483333333333334</v>
      </c>
      <c r="B3">
        <v>-3</v>
      </c>
      <c r="C3">
        <f>+A3-B3</f>
        <v>21.483333333333334</v>
      </c>
      <c r="D3">
        <v>1.002737909351</v>
      </c>
      <c r="E3">
        <f>+C3*D3</f>
        <v>21.542152752557318</v>
      </c>
      <c r="F3">
        <f>2+15/60+29.9799/3600</f>
        <v>2.2583277499999999</v>
      </c>
      <c r="G3">
        <f>+E3+F3</f>
        <v>23.800480502557317</v>
      </c>
      <c r="H3">
        <f>-(56+10/60+3/3600)</f>
        <v>-56.167499999999997</v>
      </c>
      <c r="I3">
        <f>+H3/15</f>
        <v>-3.7444999999999999</v>
      </c>
      <c r="J3">
        <f>+G3+I3</f>
        <v>20.055980502557318</v>
      </c>
      <c r="K3">
        <f>+TRUNC(J3,0)</f>
        <v>20</v>
      </c>
      <c r="L3">
        <f>+(J3-K3)*60</f>
        <v>3.3588301534391007</v>
      </c>
      <c r="M3">
        <f>+TRUNC(L3,0)</f>
        <v>3</v>
      </c>
      <c r="N3">
        <f>+(L3-M3)*60</f>
        <v>21.529809206346044</v>
      </c>
    </row>
    <row r="5" spans="1:14" x14ac:dyDescent="0.3">
      <c r="F5" s="4" t="s">
        <v>18</v>
      </c>
    </row>
    <row r="6" spans="1:14" x14ac:dyDescent="0.3">
      <c r="A6" s="3" t="s">
        <v>7</v>
      </c>
      <c r="B6" s="3" t="s">
        <v>19</v>
      </c>
      <c r="C6" s="3" t="s">
        <v>8</v>
      </c>
      <c r="D6" s="5" t="s">
        <v>9</v>
      </c>
      <c r="E6" s="3" t="s">
        <v>10</v>
      </c>
      <c r="F6" s="3" t="s">
        <v>11</v>
      </c>
      <c r="G6" s="3" t="s">
        <v>12</v>
      </c>
      <c r="H6" s="3" t="s">
        <v>13</v>
      </c>
      <c r="I6" s="3" t="s">
        <v>14</v>
      </c>
      <c r="J6" s="3" t="s">
        <v>15</v>
      </c>
      <c r="L6" s="3"/>
      <c r="M6" s="3"/>
      <c r="N6" s="3"/>
    </row>
    <row r="7" spans="1:14" x14ac:dyDescent="0.3">
      <c r="A7">
        <f>18+29/60</f>
        <v>18.483333333333334</v>
      </c>
      <c r="B7">
        <v>-3</v>
      </c>
      <c r="C7">
        <f>+A7-B7</f>
        <v>21.483333333333334</v>
      </c>
      <c r="D7">
        <v>1.002737909351</v>
      </c>
      <c r="E7">
        <f>+C7*D7</f>
        <v>21.542152752557318</v>
      </c>
      <c r="F7">
        <f>2+15/60+30.1312/3600</f>
        <v>2.2583697777777778</v>
      </c>
      <c r="G7">
        <f>+E7+F7</f>
        <v>23.800522530335094</v>
      </c>
      <c r="H7">
        <f>-(56+10/60+3/3600)</f>
        <v>-56.167499999999997</v>
      </c>
      <c r="I7">
        <f>+H7/15</f>
        <v>-3.7444999999999999</v>
      </c>
      <c r="J7">
        <f>+G7+I7</f>
        <v>20.056022530335095</v>
      </c>
      <c r="K7">
        <f>+TRUNC(J7,0)</f>
        <v>20</v>
      </c>
      <c r="L7">
        <f>+(J7-K7)*60</f>
        <v>3.3613518201057246</v>
      </c>
      <c r="M7">
        <f>+TRUNC(L7,0)</f>
        <v>3</v>
      </c>
      <c r="N7">
        <f>+(L7-M7)*60</f>
        <v>21.681109206343478</v>
      </c>
    </row>
    <row r="10" spans="1:14" x14ac:dyDescent="0.3">
      <c r="J10" s="6" t="s">
        <v>21</v>
      </c>
      <c r="K10" s="6"/>
      <c r="L10" s="6"/>
      <c r="N10" s="6">
        <f>+N7-N3</f>
        <v>0.15129999999743404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623B86-73AA-484E-8B99-77C98C0075C0}">
  <dimension ref="A1:N7"/>
  <sheetViews>
    <sheetView workbookViewId="0">
      <selection activeCell="N20" sqref="N20"/>
    </sheetView>
  </sheetViews>
  <sheetFormatPr baseColWidth="10" defaultRowHeight="14.4" x14ac:dyDescent="0.3"/>
  <cols>
    <col min="10" max="10" width="4.44140625" customWidth="1"/>
    <col min="11" max="11" width="0" hidden="1" customWidth="1"/>
    <col min="12" max="12" width="3.5546875" customWidth="1"/>
    <col min="13" max="13" width="7.33203125" hidden="1" customWidth="1"/>
  </cols>
  <sheetData>
    <row r="1" spans="1:14" x14ac:dyDescent="0.3">
      <c r="A1" s="6" t="s">
        <v>23</v>
      </c>
      <c r="B1" s="6"/>
      <c r="F1" s="4" t="s">
        <v>24</v>
      </c>
    </row>
    <row r="2" spans="1:14" x14ac:dyDescent="0.3">
      <c r="A2" s="3" t="s">
        <v>7</v>
      </c>
      <c r="B2" s="3" t="s">
        <v>19</v>
      </c>
      <c r="C2" s="3" t="s">
        <v>8</v>
      </c>
      <c r="D2" s="5" t="s">
        <v>20</v>
      </c>
      <c r="E2" s="3" t="s">
        <v>10</v>
      </c>
      <c r="F2" s="3" t="s">
        <v>11</v>
      </c>
      <c r="G2" s="3" t="s">
        <v>12</v>
      </c>
      <c r="H2" s="3" t="s">
        <v>13</v>
      </c>
      <c r="I2" s="3" t="s">
        <v>14</v>
      </c>
      <c r="J2" s="3" t="s">
        <v>15</v>
      </c>
      <c r="L2" s="3"/>
      <c r="M2" s="3"/>
      <c r="N2" s="3"/>
    </row>
    <row r="3" spans="1:14" x14ac:dyDescent="0.3">
      <c r="A3" s="10">
        <f>22</f>
        <v>22</v>
      </c>
      <c r="B3">
        <v>-3</v>
      </c>
      <c r="C3">
        <v>1</v>
      </c>
      <c r="D3">
        <f>0+(0/60+9.856/3600)</f>
        <v>2.7377777777777778E-3</v>
      </c>
      <c r="E3">
        <f>+C3+D3</f>
        <v>1.0027377777777777</v>
      </c>
      <c r="F3">
        <f>19+25/60+28.3728/3600</f>
        <v>19.424548000000001</v>
      </c>
      <c r="G3">
        <f>+E3+F3</f>
        <v>20.427285777777779</v>
      </c>
      <c r="H3">
        <f>-(56+10/60+3/3600)</f>
        <v>-56.167499999999997</v>
      </c>
      <c r="I3">
        <f>+H3/15</f>
        <v>-3.7444999999999999</v>
      </c>
      <c r="J3">
        <f>+G3+I3</f>
        <v>16.682785777777781</v>
      </c>
      <c r="K3">
        <f>+TRUNC(J3,0)</f>
        <v>16</v>
      </c>
      <c r="L3">
        <f>+(J3-K3)*60</f>
        <v>40.967146666666849</v>
      </c>
      <c r="M3">
        <f>+TRUNC(L3,0)</f>
        <v>40</v>
      </c>
      <c r="N3">
        <f>+(L3-M3)*60</f>
        <v>58.028800000010961</v>
      </c>
    </row>
    <row r="6" spans="1:14" x14ac:dyDescent="0.3">
      <c r="F6" s="4"/>
    </row>
    <row r="7" spans="1:14" x14ac:dyDescent="0.3">
      <c r="D7" s="4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05503-90AF-4FE7-9F28-4C7E4B51175E}">
  <dimension ref="A1:N15"/>
  <sheetViews>
    <sheetView workbookViewId="0">
      <selection activeCell="E1" sqref="E1:E1048576"/>
    </sheetView>
  </sheetViews>
  <sheetFormatPr baseColWidth="10" defaultRowHeight="14.4" x14ac:dyDescent="0.3"/>
  <cols>
    <col min="4" max="4" width="12.6640625" bestFit="1" customWidth="1"/>
    <col min="10" max="10" width="8.6640625" customWidth="1"/>
    <col min="11" max="11" width="5" customWidth="1"/>
    <col min="12" max="12" width="12" hidden="1" customWidth="1"/>
    <col min="13" max="13" width="7.33203125" customWidth="1"/>
  </cols>
  <sheetData>
    <row r="1" spans="1:14" x14ac:dyDescent="0.3">
      <c r="A1" s="6" t="s">
        <v>32</v>
      </c>
      <c r="B1" s="6"/>
      <c r="F1" s="4"/>
    </row>
    <row r="2" spans="1:14" x14ac:dyDescent="0.3">
      <c r="A2" s="6" t="s">
        <v>29</v>
      </c>
      <c r="B2" s="6"/>
      <c r="D2" s="4"/>
    </row>
    <row r="3" spans="1:14" x14ac:dyDescent="0.3">
      <c r="A3" s="10" t="s">
        <v>26</v>
      </c>
      <c r="B3" s="10">
        <f>4+1/60+42.4/3600</f>
        <v>4.0284444444444443</v>
      </c>
    </row>
    <row r="4" spans="1:14" x14ac:dyDescent="0.3">
      <c r="A4" t="s">
        <v>25</v>
      </c>
      <c r="B4">
        <f>18+56/60+56.941/3600</f>
        <v>18.949150277777779</v>
      </c>
    </row>
    <row r="5" spans="1:14" x14ac:dyDescent="0.3">
      <c r="A5" t="s">
        <v>31</v>
      </c>
      <c r="B5">
        <f>+B4+B3</f>
        <v>22.977594722222221</v>
      </c>
      <c r="C5" s="11" t="s">
        <v>33</v>
      </c>
      <c r="D5">
        <f>-0.1388/3600</f>
        <v>-3.8555555555555558E-5</v>
      </c>
    </row>
    <row r="6" spans="1:14" x14ac:dyDescent="0.3">
      <c r="A6" t="s">
        <v>63</v>
      </c>
      <c r="B6">
        <f>+B5-D5</f>
        <v>22.977633277777777</v>
      </c>
      <c r="F6" s="4" t="s">
        <v>65</v>
      </c>
    </row>
    <row r="7" spans="1:14" x14ac:dyDescent="0.3">
      <c r="A7" s="3" t="s">
        <v>7</v>
      </c>
      <c r="B7" s="3" t="s">
        <v>19</v>
      </c>
      <c r="C7" s="3" t="s">
        <v>8</v>
      </c>
      <c r="D7" s="5" t="s">
        <v>34</v>
      </c>
      <c r="E7" s="3" t="s">
        <v>10</v>
      </c>
      <c r="F7" s="3" t="s">
        <v>11</v>
      </c>
      <c r="G7" s="3" t="s">
        <v>12</v>
      </c>
      <c r="H7" s="3" t="s">
        <v>30</v>
      </c>
      <c r="I7" s="3" t="s">
        <v>14</v>
      </c>
      <c r="J7" s="3" t="s">
        <v>15</v>
      </c>
      <c r="K7" s="3" t="s">
        <v>26</v>
      </c>
      <c r="L7" s="3"/>
      <c r="M7" s="3" t="s">
        <v>27</v>
      </c>
      <c r="N7" s="3" t="s">
        <v>28</v>
      </c>
    </row>
    <row r="8" spans="1:14" x14ac:dyDescent="0.3">
      <c r="A8" s="12">
        <f>+C8+B8</f>
        <v>4.6708425555555557</v>
      </c>
      <c r="B8">
        <v>-3</v>
      </c>
      <c r="C8">
        <f>+E8-D8</f>
        <v>7.6708425555555557</v>
      </c>
      <c r="D8">
        <f>+(1/60+8.807/3600)+6.717/3600+0.082/3600</f>
        <v>2.1001666666666668E-2</v>
      </c>
      <c r="E8">
        <f>+G8-F8+24</f>
        <v>7.6918442222222225</v>
      </c>
      <c r="F8">
        <f>19+1/60+49.0406/3600</f>
        <v>19.030289055555553</v>
      </c>
      <c r="G8">
        <f>+J8-I8-24</f>
        <v>2.7221332777777754</v>
      </c>
      <c r="H8">
        <f>-(56+10/60+3/3600)</f>
        <v>-56.167499999999997</v>
      </c>
      <c r="I8">
        <f>+H8/15</f>
        <v>-3.7444999999999999</v>
      </c>
      <c r="J8" s="10">
        <f>+B6</f>
        <v>22.977633277777777</v>
      </c>
      <c r="K8" s="10">
        <f>+TRUNC(J8,0)</f>
        <v>22</v>
      </c>
      <c r="L8">
        <f>+(J8-K8)*60</f>
        <v>58.657996666666605</v>
      </c>
      <c r="M8" s="10">
        <f>+TRUNC(L8,0)</f>
        <v>58</v>
      </c>
      <c r="N8" s="10">
        <f>+(L8-M8)*60</f>
        <v>39.479799999996317</v>
      </c>
    </row>
    <row r="9" spans="1:14" x14ac:dyDescent="0.3">
      <c r="E9" s="24" t="s">
        <v>62</v>
      </c>
    </row>
    <row r="10" spans="1:14" x14ac:dyDescent="0.3">
      <c r="J10" s="25">
        <f>+A8</f>
        <v>4.6708425555555557</v>
      </c>
      <c r="K10" s="25">
        <f>+TRUNC(J10,0)</f>
        <v>4</v>
      </c>
      <c r="L10" s="25">
        <f>+(J10-K10)*60</f>
        <v>40.250553333333343</v>
      </c>
      <c r="M10" s="25">
        <f>+TRUNC(L10,0)</f>
        <v>40</v>
      </c>
      <c r="N10" s="25">
        <f>+(L10-M10)*60</f>
        <v>15.033200000000591</v>
      </c>
    </row>
    <row r="12" spans="1:14" x14ac:dyDescent="0.3">
      <c r="A12" s="3" t="s">
        <v>7</v>
      </c>
      <c r="B12" s="3" t="s">
        <v>19</v>
      </c>
      <c r="C12" s="3" t="s">
        <v>8</v>
      </c>
      <c r="D12" s="5" t="s">
        <v>64</v>
      </c>
      <c r="E12" s="3" t="s">
        <v>10</v>
      </c>
      <c r="F12" s="3" t="s">
        <v>11</v>
      </c>
      <c r="G12" s="3" t="s">
        <v>12</v>
      </c>
      <c r="H12" s="3" t="s">
        <v>30</v>
      </c>
      <c r="I12" s="3" t="s">
        <v>14</v>
      </c>
      <c r="J12" s="3" t="s">
        <v>15</v>
      </c>
      <c r="K12" s="3" t="s">
        <v>26</v>
      </c>
      <c r="L12" s="3"/>
      <c r="M12" s="3" t="s">
        <v>27</v>
      </c>
      <c r="N12" s="3" t="s">
        <v>28</v>
      </c>
    </row>
    <row r="13" spans="1:14" x14ac:dyDescent="0.3">
      <c r="A13" s="12">
        <f>+C13+B13</f>
        <v>4.6708421517648606</v>
      </c>
      <c r="B13">
        <v>-3</v>
      </c>
      <c r="C13">
        <f>+E13/D13</f>
        <v>7.6708421517648606</v>
      </c>
      <c r="D13">
        <v>1.002737909351</v>
      </c>
      <c r="E13">
        <f>+G13-F13+24</f>
        <v>7.6918442222222225</v>
      </c>
      <c r="F13">
        <f>19+1/60+49.0406/3600</f>
        <v>19.030289055555553</v>
      </c>
      <c r="G13">
        <f>+J13-I13-24</f>
        <v>2.7221332777777754</v>
      </c>
      <c r="H13">
        <f>-(56+10/60+3/3600)</f>
        <v>-56.167499999999997</v>
      </c>
      <c r="I13">
        <f>+H13/15</f>
        <v>-3.7444999999999999</v>
      </c>
      <c r="J13" s="10">
        <f>+B6</f>
        <v>22.977633277777777</v>
      </c>
      <c r="K13" s="10">
        <f>+TRUNC(J13,0)</f>
        <v>22</v>
      </c>
      <c r="L13">
        <f>+(J13-K13)*60</f>
        <v>58.657996666666605</v>
      </c>
      <c r="M13" s="10">
        <f>+TRUNC(L13,0)</f>
        <v>58</v>
      </c>
      <c r="N13" s="10">
        <f>+(L13-M13)*60</f>
        <v>39.479799999996317</v>
      </c>
    </row>
    <row r="15" spans="1:14" x14ac:dyDescent="0.3">
      <c r="J15" s="25">
        <f>+A13</f>
        <v>4.6708421517648606</v>
      </c>
      <c r="K15" s="25">
        <f>+TRUNC(J15,0)</f>
        <v>4</v>
      </c>
      <c r="L15" s="25">
        <f>+(J15-K15)*60</f>
        <v>40.250529105891637</v>
      </c>
      <c r="M15" s="25">
        <f>+TRUNC(L15,0)</f>
        <v>40</v>
      </c>
      <c r="N15" s="26">
        <f>+(L15-M15)*60</f>
        <v>15.031746353498221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EC1DF1-8842-49C7-92F6-C81C5F51C6C0}">
  <dimension ref="A1:N18"/>
  <sheetViews>
    <sheetView workbookViewId="0">
      <selection activeCell="K16" sqref="K16:N17"/>
    </sheetView>
  </sheetViews>
  <sheetFormatPr baseColWidth="10" defaultRowHeight="14.4" x14ac:dyDescent="0.3"/>
  <cols>
    <col min="3" max="3" width="11.6640625" bestFit="1" customWidth="1"/>
    <col min="4" max="4" width="12.6640625" bestFit="1" customWidth="1"/>
    <col min="10" max="10" width="8.6640625" customWidth="1"/>
    <col min="11" max="11" width="5" customWidth="1"/>
    <col min="12" max="12" width="12" hidden="1" customWidth="1"/>
    <col min="13" max="13" width="7.33203125" customWidth="1"/>
  </cols>
  <sheetData>
    <row r="1" spans="1:14" x14ac:dyDescent="0.3">
      <c r="A1" s="6" t="s">
        <v>52</v>
      </c>
      <c r="B1" s="6"/>
      <c r="C1" s="17">
        <f>-(34+55/60+8.78/3600)</f>
        <v>-34.919105555555554</v>
      </c>
      <c r="D1" s="6">
        <f>+RADIANS(C1)</f>
        <v>-0.6094533637958881</v>
      </c>
      <c r="F1" s="4"/>
    </row>
    <row r="2" spans="1:14" x14ac:dyDescent="0.3">
      <c r="A2" s="6" t="s">
        <v>35</v>
      </c>
      <c r="B2" s="6"/>
      <c r="D2" s="4"/>
    </row>
    <row r="3" spans="1:14" x14ac:dyDescent="0.3">
      <c r="A3" s="10" t="s">
        <v>41</v>
      </c>
      <c r="D3" t="s">
        <v>45</v>
      </c>
    </row>
    <row r="4" spans="1:14" x14ac:dyDescent="0.3">
      <c r="A4" s="6" t="s">
        <v>25</v>
      </c>
      <c r="B4" s="6">
        <f>5+15/60+41.894/3600</f>
        <v>5.2616372222222223</v>
      </c>
      <c r="C4" s="6">
        <f>+B4*15</f>
        <v>78.924558333333337</v>
      </c>
      <c r="D4" s="14">
        <f>+RADIANS(B4)</f>
        <v>9.1832893573266336E-2</v>
      </c>
    </row>
    <row r="5" spans="1:14" x14ac:dyDescent="0.3">
      <c r="A5" s="6" t="s">
        <v>44</v>
      </c>
      <c r="B5" s="6">
        <f>-(8+10/60+33.62/3600)</f>
        <v>-8.1760055555555553</v>
      </c>
      <c r="D5" s="14">
        <f>+RADIANS(B5)</f>
        <v>-0.1426982166057926</v>
      </c>
    </row>
    <row r="6" spans="1:14" x14ac:dyDescent="0.3">
      <c r="F6" s="4" t="s">
        <v>17</v>
      </c>
    </row>
    <row r="7" spans="1:14" x14ac:dyDescent="0.3">
      <c r="A7" s="3" t="s">
        <v>7</v>
      </c>
      <c r="B7" s="3" t="s">
        <v>19</v>
      </c>
      <c r="C7" s="3" t="s">
        <v>8</v>
      </c>
      <c r="D7" s="5" t="s">
        <v>9</v>
      </c>
      <c r="E7" s="3" t="s">
        <v>10</v>
      </c>
      <c r="F7" s="3" t="s">
        <v>11</v>
      </c>
      <c r="G7" s="3" t="s">
        <v>12</v>
      </c>
      <c r="H7" s="3" t="s">
        <v>13</v>
      </c>
      <c r="I7" s="3" t="s">
        <v>14</v>
      </c>
      <c r="J7" s="3" t="s">
        <v>15</v>
      </c>
      <c r="K7" s="3" t="s">
        <v>26</v>
      </c>
      <c r="L7" s="3"/>
      <c r="M7" s="3" t="s">
        <v>27</v>
      </c>
      <c r="N7" s="3" t="s">
        <v>28</v>
      </c>
    </row>
    <row r="8" spans="1:14" x14ac:dyDescent="0.3">
      <c r="A8" s="6">
        <f>3+48/60</f>
        <v>3.8</v>
      </c>
      <c r="B8">
        <v>-3</v>
      </c>
      <c r="C8">
        <f>+A8-B8</f>
        <v>6.8</v>
      </c>
      <c r="D8">
        <v>1.002737909351</v>
      </c>
      <c r="E8">
        <f>+C8*D8</f>
        <v>6.8186177835868005</v>
      </c>
      <c r="F8">
        <f>11+4/60+45.5903/3600</f>
        <v>11.079330638888889</v>
      </c>
      <c r="G8">
        <f>+E8+F8</f>
        <v>17.89794842247569</v>
      </c>
      <c r="H8">
        <f>-(56+10/60+3/3600)</f>
        <v>-56.167499999999997</v>
      </c>
      <c r="I8">
        <f>+H8/15</f>
        <v>-3.7444999999999999</v>
      </c>
      <c r="J8" s="10">
        <f>+G8+I8</f>
        <v>14.153448422475689</v>
      </c>
      <c r="K8" s="10">
        <f>+TRUNC(J8,0)</f>
        <v>14</v>
      </c>
      <c r="L8">
        <f>+(J8-K8)*60</f>
        <v>9.2069053485413477</v>
      </c>
      <c r="M8" s="10">
        <f>+TRUNC(L8,0)</f>
        <v>9</v>
      </c>
      <c r="N8" s="10">
        <f>+(L8-M8)*60</f>
        <v>12.414320912480861</v>
      </c>
    </row>
    <row r="12" spans="1:14" x14ac:dyDescent="0.3">
      <c r="A12" t="s">
        <v>42</v>
      </c>
    </row>
    <row r="13" spans="1:14" x14ac:dyDescent="0.3">
      <c r="A13" s="6" t="s">
        <v>43</v>
      </c>
      <c r="B13" s="6">
        <f>+J8-B4</f>
        <v>8.8918112002534677</v>
      </c>
      <c r="C13" t="s">
        <v>46</v>
      </c>
    </row>
    <row r="15" spans="1:14" x14ac:dyDescent="0.3">
      <c r="A15" s="10"/>
      <c r="B15" s="10" t="s">
        <v>47</v>
      </c>
      <c r="C15" s="10" t="s">
        <v>48</v>
      </c>
      <c r="D15" s="10" t="s">
        <v>38</v>
      </c>
      <c r="G15" s="15"/>
      <c r="H15" s="15" t="s">
        <v>49</v>
      </c>
      <c r="I15" s="15" t="s">
        <v>38</v>
      </c>
      <c r="J15" s="15" t="s">
        <v>48</v>
      </c>
      <c r="K15" s="15" t="s">
        <v>53</v>
      </c>
      <c r="L15" s="15" t="s">
        <v>27</v>
      </c>
      <c r="M15" s="15" t="s">
        <v>27</v>
      </c>
      <c r="N15" s="15" t="s">
        <v>28</v>
      </c>
    </row>
    <row r="16" spans="1:14" x14ac:dyDescent="0.3">
      <c r="A16" s="10" t="s">
        <v>26</v>
      </c>
      <c r="B16" s="10">
        <f>+B13</f>
        <v>8.8918112002534677</v>
      </c>
      <c r="C16" s="10">
        <f>+B16*15</f>
        <v>133.37716800380201</v>
      </c>
      <c r="D16" s="10">
        <f>+RADIANS(C16)</f>
        <v>2.3278707286519777</v>
      </c>
      <c r="G16" s="15" t="s">
        <v>36</v>
      </c>
      <c r="H16" s="15">
        <f>+(SIN(D16)/(SIN($D$1)*COS(D16)-COS($D$1)*TAN(D17)))</f>
        <v>1.422559558855705</v>
      </c>
      <c r="I16" s="15">
        <f>+ATAN((SIN(D16)/(SIN($D$1)*COS(D16)-COS($D$1)*TAN(D17))))</f>
        <v>0.95808770742233496</v>
      </c>
      <c r="J16" s="16">
        <f>+DEGREES(I16)</f>
        <v>54.894382038664631</v>
      </c>
      <c r="K16" s="18">
        <f>TRUNC(J16,0)</f>
        <v>54</v>
      </c>
      <c r="L16">
        <f>+(J16-K16)*60</f>
        <v>53.66292231987785</v>
      </c>
      <c r="M16" s="6">
        <f>+TRUNC(L16,0)</f>
        <v>53</v>
      </c>
      <c r="N16" s="6">
        <f>+(L16-M16)*60</f>
        <v>39.775339192671026</v>
      </c>
    </row>
    <row r="17" spans="1:14" x14ac:dyDescent="0.3">
      <c r="A17" s="10" t="s">
        <v>50</v>
      </c>
      <c r="B17" s="10"/>
      <c r="C17" s="10">
        <f>+B5</f>
        <v>-8.1760055555555553</v>
      </c>
      <c r="D17" s="10">
        <f>+RADIANS(C17)</f>
        <v>-0.1426982166057926</v>
      </c>
      <c r="G17" s="15" t="s">
        <v>51</v>
      </c>
      <c r="H17" s="15"/>
      <c r="I17" s="15">
        <f>ACOS(SIN($D$1)*SIN(D17)+COS($D$1)*COS(D17)*COS(D16))</f>
        <v>2.066916825108517</v>
      </c>
      <c r="J17" s="16">
        <f>+DEGREES(I17)</f>
        <v>118.42561068329773</v>
      </c>
      <c r="K17" s="18">
        <f t="shared" ref="K17" si="0">TRUNC(J17,0)</f>
        <v>118</v>
      </c>
      <c r="L17">
        <f t="shared" ref="L17" si="1">+(J17-K17)*60</f>
        <v>25.536640997864026</v>
      </c>
      <c r="M17" s="6">
        <f t="shared" ref="M17" si="2">+TRUNC(L17,0)</f>
        <v>25</v>
      </c>
      <c r="N17" s="6">
        <f t="shared" ref="N17" si="3">+(L17-M17)*60</f>
        <v>32.198459871841578</v>
      </c>
    </row>
    <row r="18" spans="1:14" x14ac:dyDescent="0.3">
      <c r="J18" s="27"/>
      <c r="K18" s="27"/>
      <c r="L18" s="27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CF45D2-AF84-47E0-B3E5-73C14B91F75A}">
  <dimension ref="A1:O26"/>
  <sheetViews>
    <sheetView tabSelected="1" workbookViewId="0">
      <selection activeCell="H9" sqref="H9"/>
    </sheetView>
  </sheetViews>
  <sheetFormatPr baseColWidth="10" defaultRowHeight="14.4" x14ac:dyDescent="0.3"/>
  <cols>
    <col min="4" max="4" width="12.6640625" bestFit="1" customWidth="1"/>
    <col min="10" max="10" width="8.6640625" customWidth="1"/>
    <col min="11" max="11" width="5" customWidth="1"/>
    <col min="12" max="12" width="12" hidden="1" customWidth="1"/>
    <col min="13" max="13" width="7.33203125" customWidth="1"/>
    <col min="14" max="14" width="11.21875" style="7"/>
  </cols>
  <sheetData>
    <row r="1" spans="1:15" x14ac:dyDescent="0.3">
      <c r="A1" s="6" t="s">
        <v>54</v>
      </c>
      <c r="B1" s="6"/>
      <c r="C1" s="17">
        <f>-(34+55/60+8.78/3600)</f>
        <v>-34.919105555555554</v>
      </c>
      <c r="D1" s="6">
        <f>+RADIANS(C1)</f>
        <v>-0.6094533637958881</v>
      </c>
      <c r="F1" s="4"/>
    </row>
    <row r="2" spans="1:15" x14ac:dyDescent="0.3">
      <c r="A2" s="6" t="s">
        <v>39</v>
      </c>
      <c r="B2" s="6"/>
      <c r="C2" t="s">
        <v>38</v>
      </c>
      <c r="D2" s="4"/>
      <c r="F2" t="s">
        <v>38</v>
      </c>
    </row>
    <row r="3" spans="1:15" x14ac:dyDescent="0.3">
      <c r="A3" s="6" t="s">
        <v>36</v>
      </c>
      <c r="B3" s="6">
        <f>96+35/60+37/3600</f>
        <v>96.593611111111102</v>
      </c>
      <c r="C3" s="6">
        <f>+RADIANS(B3)</f>
        <v>1.6858765502798669</v>
      </c>
      <c r="D3" s="14" t="s">
        <v>37</v>
      </c>
      <c r="E3" s="6">
        <f>60+40/60+43.4/3600</f>
        <v>60.67872222222222</v>
      </c>
      <c r="F3" s="6">
        <f>+RADIANS(E3)</f>
        <v>1.059043488680828</v>
      </c>
    </row>
    <row r="5" spans="1:15" x14ac:dyDescent="0.3">
      <c r="A5" s="6" t="s">
        <v>25</v>
      </c>
      <c r="B5" s="6">
        <f>12+16/60+28.084/3600</f>
        <v>12.274467777777778</v>
      </c>
      <c r="C5" s="20" t="s">
        <v>46</v>
      </c>
    </row>
    <row r="6" spans="1:15" x14ac:dyDescent="0.3">
      <c r="A6" s="6" t="s">
        <v>44</v>
      </c>
      <c r="B6" s="6">
        <f>-(58+52/60+58.45/3600)</f>
        <v>-58.88290277777778</v>
      </c>
      <c r="C6" t="s">
        <v>55</v>
      </c>
    </row>
    <row r="8" spans="1:15" x14ac:dyDescent="0.3">
      <c r="A8" s="10"/>
      <c r="B8" s="10"/>
      <c r="C8" s="10" t="s">
        <v>48</v>
      </c>
      <c r="D8" s="10" t="s">
        <v>38</v>
      </c>
      <c r="G8" s="15"/>
      <c r="H8" s="15" t="s">
        <v>49</v>
      </c>
      <c r="I8" s="15" t="s">
        <v>38</v>
      </c>
      <c r="J8" s="15" t="s">
        <v>48</v>
      </c>
      <c r="K8" s="6"/>
      <c r="M8" s="15" t="s">
        <v>27</v>
      </c>
      <c r="N8" s="28" t="s">
        <v>28</v>
      </c>
    </row>
    <row r="9" spans="1:15" x14ac:dyDescent="0.3">
      <c r="A9" s="10" t="s">
        <v>36</v>
      </c>
      <c r="B9" s="10"/>
      <c r="C9" s="10">
        <f>+B3</f>
        <v>96.593611111111102</v>
      </c>
      <c r="D9" s="10">
        <f>+C3</f>
        <v>1.6858765502798669</v>
      </c>
      <c r="G9" s="15" t="s">
        <v>26</v>
      </c>
      <c r="H9" s="15">
        <f>+(SIN(D9)/(COS($D$1)*_xlfn.COT(D10)+SIN($D$1)*COS(D9)))</f>
        <v>1.8875968052113494</v>
      </c>
      <c r="I9" s="15">
        <f>+ATAN(SIN(D9)/(COS($D$1)*_xlfn.COT(D10)+SIN($D$1)*COS(D9)))</f>
        <v>1.0836140822172997</v>
      </c>
      <c r="J9" s="16">
        <f>+DEGREES(I9)</f>
        <v>62.086513531993468</v>
      </c>
      <c r="K9" s="6">
        <f>+TRUNC(J9,0)</f>
        <v>62</v>
      </c>
      <c r="L9" s="6">
        <f>+(J9-K9)*60</f>
        <v>5.1908119196080804</v>
      </c>
      <c r="M9" s="6">
        <f>+TRUNC(L9,0)</f>
        <v>5</v>
      </c>
      <c r="N9" s="9">
        <f>+(L9-M9)*60</f>
        <v>11.448715176484825</v>
      </c>
      <c r="O9" t="s">
        <v>56</v>
      </c>
    </row>
    <row r="10" spans="1:15" x14ac:dyDescent="0.3">
      <c r="A10" s="10" t="s">
        <v>51</v>
      </c>
      <c r="B10" s="10"/>
      <c r="C10" s="10">
        <f>+E3</f>
        <v>60.67872222222222</v>
      </c>
      <c r="D10" s="10">
        <f>+F3</f>
        <v>1.059043488680828</v>
      </c>
      <c r="G10" s="6"/>
      <c r="H10" s="6"/>
      <c r="I10" s="6"/>
      <c r="J10" s="6">
        <f>+J9/15</f>
        <v>4.1391009021328982</v>
      </c>
      <c r="K10" s="6">
        <f>+TRUNC(J10,0)</f>
        <v>4</v>
      </c>
      <c r="L10" s="6">
        <f>+(J10-K10)*60</f>
        <v>8.3460541279738898</v>
      </c>
      <c r="M10" s="6">
        <f>+TRUNC(L10,0)</f>
        <v>8</v>
      </c>
      <c r="N10" s="9">
        <f>+(L10-M10)*60</f>
        <v>20.763247678433387</v>
      </c>
      <c r="O10" s="19" t="s">
        <v>46</v>
      </c>
    </row>
    <row r="11" spans="1:15" x14ac:dyDescent="0.3">
      <c r="F11" s="21"/>
      <c r="G11" s="21"/>
      <c r="H11" s="21"/>
      <c r="I11" s="22"/>
      <c r="J11" s="22"/>
      <c r="K11" s="22"/>
    </row>
    <row r="13" spans="1:15" x14ac:dyDescent="0.3">
      <c r="A13" s="6" t="s">
        <v>42</v>
      </c>
      <c r="B13" s="6">
        <f>+B5+J10</f>
        <v>16.413568679910675</v>
      </c>
    </row>
    <row r="14" spans="1:15" x14ac:dyDescent="0.3">
      <c r="A14" s="10" t="s">
        <v>40</v>
      </c>
    </row>
    <row r="17" spans="1:14" x14ac:dyDescent="0.3">
      <c r="F17" s="4" t="s">
        <v>18</v>
      </c>
    </row>
    <row r="18" spans="1:14" x14ac:dyDescent="0.3">
      <c r="A18" s="3" t="s">
        <v>7</v>
      </c>
      <c r="B18" s="3" t="s">
        <v>19</v>
      </c>
      <c r="C18" s="3" t="s">
        <v>8</v>
      </c>
      <c r="D18" s="5" t="s">
        <v>34</v>
      </c>
      <c r="E18" s="3" t="s">
        <v>10</v>
      </c>
      <c r="F18" s="3" t="s">
        <v>11</v>
      </c>
      <c r="G18" s="3" t="s">
        <v>12</v>
      </c>
      <c r="H18" s="3" t="s">
        <v>30</v>
      </c>
      <c r="I18" s="3" t="s">
        <v>14</v>
      </c>
      <c r="J18" s="3" t="s">
        <v>15</v>
      </c>
      <c r="K18" s="3" t="s">
        <v>26</v>
      </c>
      <c r="L18" s="3"/>
      <c r="M18" s="3" t="s">
        <v>27</v>
      </c>
      <c r="N18" s="8" t="s">
        <v>28</v>
      </c>
    </row>
    <row r="19" spans="1:14" x14ac:dyDescent="0.3">
      <c r="A19" s="12">
        <f>+C19+B19</f>
        <v>10.984530902132896</v>
      </c>
      <c r="B19">
        <v>-3</v>
      </c>
      <c r="C19">
        <f>+E19-D19</f>
        <v>13.984530902132896</v>
      </c>
      <c r="D19" s="13">
        <f>+(2/60+17.614/3600)+0.164/3600+0.06/3600</f>
        <v>3.8288333333333334E-2</v>
      </c>
      <c r="E19">
        <f>+G19-F19</f>
        <v>14.02281923546623</v>
      </c>
      <c r="F19" s="13">
        <f>6+8/60+6.898/3600</f>
        <v>6.1352494444444448</v>
      </c>
      <c r="G19">
        <f>+J19-I19</f>
        <v>20.158068679910674</v>
      </c>
      <c r="H19">
        <f>-(56+10/60+3/3600)</f>
        <v>-56.167499999999997</v>
      </c>
      <c r="I19">
        <f>+H19/15</f>
        <v>-3.7444999999999999</v>
      </c>
      <c r="J19" s="10">
        <f>+B13</f>
        <v>16.413568679910675</v>
      </c>
      <c r="K19" s="10">
        <f>+TRUNC(J19,0)</f>
        <v>16</v>
      </c>
      <c r="L19">
        <f>+(J19-K19)*60</f>
        <v>24.814120794640502</v>
      </c>
      <c r="M19" s="10">
        <f>+TRUNC(L19,0)</f>
        <v>24</v>
      </c>
      <c r="N19" s="29">
        <f>+(L19-M19)*60</f>
        <v>48.847247678430108</v>
      </c>
    </row>
    <row r="20" spans="1:14" x14ac:dyDescent="0.3">
      <c r="E20" s="13" t="s">
        <v>66</v>
      </c>
    </row>
    <row r="21" spans="1:14" x14ac:dyDescent="0.3">
      <c r="J21" s="25">
        <f>+A19</f>
        <v>10.984530902132896</v>
      </c>
      <c r="K21" s="25">
        <f>+TRUNC(J21,0)</f>
        <v>10</v>
      </c>
      <c r="L21" s="25">
        <f>+(J21-K21)*60</f>
        <v>59.071854127973751</v>
      </c>
      <c r="M21" s="25">
        <f>+TRUNC(L21,0)</f>
        <v>59</v>
      </c>
      <c r="N21" s="26">
        <f>+(L21-M21)*60</f>
        <v>4.3112476784250475</v>
      </c>
    </row>
    <row r="23" spans="1:14" x14ac:dyDescent="0.3">
      <c r="A23" s="3" t="s">
        <v>7</v>
      </c>
      <c r="B23" s="3" t="s">
        <v>19</v>
      </c>
      <c r="C23" s="3" t="s">
        <v>8</v>
      </c>
      <c r="D23" s="5" t="s">
        <v>64</v>
      </c>
      <c r="E23" s="3" t="s">
        <v>10</v>
      </c>
      <c r="F23" s="3" t="s">
        <v>11</v>
      </c>
      <c r="G23" s="3" t="s">
        <v>12</v>
      </c>
      <c r="H23" s="3" t="s">
        <v>30</v>
      </c>
      <c r="I23" s="3" t="s">
        <v>14</v>
      </c>
      <c r="J23" s="3" t="s">
        <v>15</v>
      </c>
      <c r="K23" s="3" t="s">
        <v>26</v>
      </c>
      <c r="L23" s="3"/>
      <c r="M23" s="3" t="s">
        <v>27</v>
      </c>
      <c r="N23" s="8" t="s">
        <v>28</v>
      </c>
    </row>
    <row r="24" spans="1:14" x14ac:dyDescent="0.3">
      <c r="A24" s="12">
        <f>+C24+B24</f>
        <v>10.984530857661689</v>
      </c>
      <c r="B24">
        <v>-3</v>
      </c>
      <c r="C24">
        <f>+E24/D24</f>
        <v>13.984530857661689</v>
      </c>
      <c r="D24">
        <v>1.002737909351</v>
      </c>
      <c r="E24">
        <f>+G24-F24</f>
        <v>14.02281923546623</v>
      </c>
      <c r="F24">
        <f>+F19</f>
        <v>6.1352494444444448</v>
      </c>
      <c r="G24">
        <f>+J24-I24</f>
        <v>20.158068679910674</v>
      </c>
      <c r="H24">
        <f>-(56+10/60+3/3600)</f>
        <v>-56.167499999999997</v>
      </c>
      <c r="I24">
        <f>+H24/15</f>
        <v>-3.7444999999999999</v>
      </c>
      <c r="J24" s="10">
        <f>+B13</f>
        <v>16.413568679910675</v>
      </c>
      <c r="K24" s="10">
        <f>+TRUNC(J24,0)</f>
        <v>16</v>
      </c>
      <c r="L24">
        <f>+(J24-K24)*60</f>
        <v>24.814120794640502</v>
      </c>
      <c r="M24" s="10">
        <f>+TRUNC(L24,0)</f>
        <v>24</v>
      </c>
      <c r="N24" s="29">
        <f>+(L24-M24)*60</f>
        <v>48.847247678430108</v>
      </c>
    </row>
    <row r="26" spans="1:14" x14ac:dyDescent="0.3">
      <c r="J26" s="25">
        <f>+A24</f>
        <v>10.984530857661689</v>
      </c>
      <c r="K26" s="25">
        <f>+TRUNC(J26,0)</f>
        <v>10</v>
      </c>
      <c r="L26" s="25">
        <f>+(J26-K26)*60</f>
        <v>59.071851459701321</v>
      </c>
      <c r="M26" s="25">
        <f>+TRUNC(L26,0)</f>
        <v>59</v>
      </c>
      <c r="N26" s="26">
        <f>+(L26-M26)*60</f>
        <v>4.3110875820792671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4827C7-4645-4C9A-AA1A-34FABE370B38}">
  <dimension ref="A24:L48"/>
  <sheetViews>
    <sheetView topLeftCell="D4" workbookViewId="0">
      <selection activeCell="L50" sqref="L50"/>
    </sheetView>
  </sheetViews>
  <sheetFormatPr baseColWidth="10" defaultRowHeight="14.4" x14ac:dyDescent="0.3"/>
  <sheetData>
    <row r="24" spans="1:7" x14ac:dyDescent="0.3">
      <c r="A24" t="s">
        <v>57</v>
      </c>
      <c r="G24" t="s">
        <v>58</v>
      </c>
    </row>
    <row r="48" spans="1:12" x14ac:dyDescent="0.3">
      <c r="A48" t="s">
        <v>59</v>
      </c>
      <c r="G48" t="s">
        <v>60</v>
      </c>
      <c r="L48" t="s">
        <v>61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ej1</vt:lpstr>
      <vt:lpstr>ej 2</vt:lpstr>
      <vt:lpstr>ej 3</vt:lpstr>
      <vt:lpstr>ej 4</vt:lpstr>
      <vt:lpstr>ej 5</vt:lpstr>
      <vt:lpstr>ej 6</vt:lpstr>
      <vt:lpstr>ej 7</vt:lpstr>
      <vt:lpstr>ej8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Camisay</dc:creator>
  <cp:lastModifiedBy>Maria Camisay</cp:lastModifiedBy>
  <dcterms:created xsi:type="dcterms:W3CDTF">2024-09-13T12:32:54Z</dcterms:created>
  <dcterms:modified xsi:type="dcterms:W3CDTF">2024-09-19T12:11:55Z</dcterms:modified>
</cp:coreProperties>
</file>