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inguy-my.sharepoint.com/personal/mfcamisay_fing_edu_uy/Documents/Geodesia_Astronomica/Practicos/"/>
    </mc:Choice>
  </mc:AlternateContent>
  <xr:revisionPtr revIDLastSave="248" documentId="8_{F9AD3CB4-66EC-483E-B084-94A87DCC5A58}" xr6:coauthVersionLast="47" xr6:coauthVersionMax="47" xr10:uidLastSave="{A9876BB5-7838-4261-87C8-6E0FB2C8011F}"/>
  <bookViews>
    <workbookView xWindow="-110" yWindow="-110" windowWidth="19420" windowHeight="10300" xr2:uid="{F93145A1-1C89-4DFB-ACED-F4B8EC93B221}"/>
  </bookViews>
  <sheets>
    <sheet name="ej5" sheetId="1" r:id="rId1"/>
    <sheet name="ej9" sheetId="2" r:id="rId2"/>
    <sheet name="ej10" sheetId="4" r:id="rId3"/>
    <sheet name="Hoja3" sheetId="3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K21" i="4"/>
  <c r="J21" i="4"/>
  <c r="K16" i="4"/>
  <c r="J16" i="4"/>
  <c r="I14" i="4"/>
  <c r="K11" i="4"/>
  <c r="J11" i="4"/>
  <c r="C20" i="4"/>
  <c r="D20" i="4" s="1"/>
  <c r="C21" i="4"/>
  <c r="C19" i="4"/>
  <c r="D19" i="4" s="1"/>
  <c r="C14" i="4"/>
  <c r="D14" i="4" s="1"/>
  <c r="C10" i="4"/>
  <c r="D10" i="4" s="1"/>
  <c r="C11" i="4"/>
  <c r="C9" i="4"/>
  <c r="D9" i="4" s="1"/>
  <c r="D15" i="4"/>
  <c r="K6" i="4"/>
  <c r="J6" i="4"/>
  <c r="C4" i="4"/>
  <c r="D4" i="4" s="1"/>
  <c r="H4" i="4" s="1"/>
  <c r="I4" i="4" s="1"/>
  <c r="I5" i="4" s="1"/>
  <c r="J5" i="4" s="1"/>
  <c r="K5" i="4" s="1"/>
  <c r="C1" i="4"/>
  <c r="D1" i="4" s="1"/>
  <c r="D5" i="4"/>
  <c r="H6" i="4" s="1"/>
  <c r="B19" i="2"/>
  <c r="C19" i="2" s="1"/>
  <c r="D19" i="2" s="1"/>
  <c r="D20" i="2"/>
  <c r="I14" i="2"/>
  <c r="B14" i="2"/>
  <c r="C14" i="2" s="1"/>
  <c r="D14" i="2" s="1"/>
  <c r="D15" i="2"/>
  <c r="H9" i="2"/>
  <c r="I9" i="2" s="1"/>
  <c r="H4" i="2"/>
  <c r="H10" i="2"/>
  <c r="H11" i="2" s="1"/>
  <c r="I11" i="2" s="1"/>
  <c r="J11" i="2" s="1"/>
  <c r="K11" i="2" s="1"/>
  <c r="G9" i="2"/>
  <c r="H5" i="2"/>
  <c r="G4" i="2"/>
  <c r="B9" i="2"/>
  <c r="C9" i="2" s="1"/>
  <c r="D9" i="2" s="1"/>
  <c r="D10" i="2"/>
  <c r="C1" i="2"/>
  <c r="D1" i="2" s="1"/>
  <c r="D5" i="2"/>
  <c r="B4" i="2"/>
  <c r="C4" i="2" s="1"/>
  <c r="D4" i="2" s="1"/>
  <c r="F23" i="1"/>
  <c r="F22" i="1"/>
  <c r="F18" i="1"/>
  <c r="F17" i="1"/>
  <c r="B21" i="1"/>
  <c r="C22" i="1"/>
  <c r="C21" i="1"/>
  <c r="C20" i="1"/>
  <c r="B16" i="1"/>
  <c r="C16" i="1" s="1"/>
  <c r="C17" i="1"/>
  <c r="C15" i="1"/>
  <c r="E11" i="1"/>
  <c r="B11" i="1"/>
  <c r="C12" i="1"/>
  <c r="C11" i="1"/>
  <c r="C10" i="1"/>
  <c r="C6" i="1"/>
  <c r="C7" i="1"/>
  <c r="E6" i="1" s="1"/>
  <c r="F6" i="1" s="1"/>
  <c r="C5" i="1"/>
  <c r="B6" i="1"/>
  <c r="G19" i="4" l="1"/>
  <c r="H19" i="4"/>
  <c r="I19" i="4" s="1"/>
  <c r="H21" i="4"/>
  <c r="I21" i="4" s="1"/>
  <c r="H14" i="4"/>
  <c r="G14" i="4"/>
  <c r="H16" i="4"/>
  <c r="I16" i="4" s="1"/>
  <c r="G9" i="4"/>
  <c r="H9" i="4"/>
  <c r="I9" i="4" s="1"/>
  <c r="H11" i="4"/>
  <c r="I11" i="4" s="1"/>
  <c r="G4" i="4"/>
  <c r="J4" i="4"/>
  <c r="K4" i="4" s="1"/>
  <c r="H19" i="2"/>
  <c r="I19" i="2" s="1"/>
  <c r="J19" i="2" s="1"/>
  <c r="K19" i="2" s="1"/>
  <c r="G19" i="2"/>
  <c r="H20" i="2"/>
  <c r="H14" i="2"/>
  <c r="J14" i="2" s="1"/>
  <c r="K14" i="2" s="1"/>
  <c r="G14" i="2"/>
  <c r="H15" i="2"/>
  <c r="J9" i="2"/>
  <c r="K9" i="2" s="1"/>
  <c r="I10" i="2"/>
  <c r="J10" i="2" s="1"/>
  <c r="K10" i="2" s="1"/>
  <c r="I5" i="2"/>
  <c r="J5" i="2" s="1"/>
  <c r="K5" i="2" s="1"/>
  <c r="H6" i="2"/>
  <c r="I6" i="2" s="1"/>
  <c r="J6" i="2" s="1"/>
  <c r="K6" i="2" s="1"/>
  <c r="I4" i="2"/>
  <c r="J4" i="2" s="1"/>
  <c r="K4" i="2" s="1"/>
  <c r="E21" i="1"/>
  <c r="F21" i="1" s="1"/>
  <c r="E16" i="1"/>
  <c r="F16" i="1" s="1"/>
  <c r="F11" i="1"/>
  <c r="J19" i="4" l="1"/>
  <c r="K19" i="4" s="1"/>
  <c r="I20" i="4"/>
  <c r="J20" i="4" s="1"/>
  <c r="K20" i="4" s="1"/>
  <c r="I15" i="4"/>
  <c r="J15" i="4" s="1"/>
  <c r="K15" i="4" s="1"/>
  <c r="J14" i="4"/>
  <c r="K14" i="4" s="1"/>
  <c r="I10" i="4"/>
  <c r="J10" i="4" s="1"/>
  <c r="K10" i="4" s="1"/>
  <c r="J9" i="4"/>
  <c r="K9" i="4" s="1"/>
  <c r="I6" i="4"/>
  <c r="H21" i="2"/>
  <c r="I21" i="2" s="1"/>
  <c r="J21" i="2" s="1"/>
  <c r="K21" i="2" s="1"/>
  <c r="I20" i="2"/>
  <c r="J20" i="2" s="1"/>
  <c r="K20" i="2" s="1"/>
  <c r="H16" i="2"/>
  <c r="I16" i="2" s="1"/>
  <c r="J16" i="2" s="1"/>
  <c r="K16" i="2" s="1"/>
  <c r="I15" i="2"/>
  <c r="J15" i="2" s="1"/>
  <c r="K15" i="2" s="1"/>
</calcChain>
</file>

<file path=xl/sharedStrings.xml><?xml version="1.0" encoding="utf-8"?>
<sst xmlns="http://schemas.openxmlformats.org/spreadsheetml/2006/main" count="167" uniqueCount="40">
  <si>
    <t>EJ 5</t>
  </si>
  <si>
    <t>A)</t>
  </si>
  <si>
    <t>LAT</t>
  </si>
  <si>
    <t>GRADOS</t>
  </si>
  <si>
    <t>RAD</t>
  </si>
  <si>
    <t>Z</t>
  </si>
  <si>
    <t>Az</t>
  </si>
  <si>
    <t>DEC</t>
  </si>
  <si>
    <t>B)</t>
  </si>
  <si>
    <t>C)</t>
  </si>
  <si>
    <t>20°</t>
  </si>
  <si>
    <t>10°15'30,25''</t>
  </si>
  <si>
    <t>-44°13'55,14''</t>
  </si>
  <si>
    <t>9)</t>
  </si>
  <si>
    <t>a)</t>
  </si>
  <si>
    <t>H</t>
  </si>
  <si>
    <t>horas</t>
  </si>
  <si>
    <t>grados</t>
  </si>
  <si>
    <t>rad</t>
  </si>
  <si>
    <t>dec</t>
  </si>
  <si>
    <t>lat</t>
  </si>
  <si>
    <t>AZ</t>
  </si>
  <si>
    <t>h</t>
  </si>
  <si>
    <t>b)</t>
  </si>
  <si>
    <t>minutos</t>
  </si>
  <si>
    <t>seg</t>
  </si>
  <si>
    <t>tg</t>
  </si>
  <si>
    <t>c)</t>
  </si>
  <si>
    <t>d)</t>
  </si>
  <si>
    <t>3er cuadrante</t>
  </si>
  <si>
    <t>arriba horizonte</t>
  </si>
  <si>
    <t>1er cuadrante</t>
  </si>
  <si>
    <t>arriba horiz</t>
  </si>
  <si>
    <t>4to cuadrante</t>
  </si>
  <si>
    <t>debajo horizonte</t>
  </si>
  <si>
    <t>2do cuadrante</t>
  </si>
  <si>
    <t>10)</t>
  </si>
  <si>
    <t>2DO cuadrante</t>
  </si>
  <si>
    <t>HS</t>
  </si>
  <si>
    <t>-62°25'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</si>
</sst>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0" fontId="3" fillId="2" borderId="0" xfId="0" applyFont="1" applyFill="1"/>
    <xf numFmtId="2" fontId="3" fillId="2" borderId="0" xfId="0" applyNumberFormat="1" applyFont="1" applyFill="1"/>
    <xf numFmtId="0" fontId="0" fillId="3" borderId="0" xfId="0" applyFill="1"/>
    <xf numFmtId="0" fontId="0" fillId="3" borderId="0" xfId="0" quotePrefix="1" applyFill="1"/>
    <xf numFmtId="0" fontId="0" fillId="2" borderId="0" xfId="0" applyFill="1"/>
    <xf numFmtId="0" fontId="2" fillId="2" borderId="0" xfId="0" applyFont="1" applyFill="1"/>
    <xf numFmtId="2" fontId="4" fillId="2" borderId="0" xfId="0" applyNumberFormat="1" applyFont="1" applyFill="1"/>
    <xf numFmtId="0" fontId="2" fillId="0" borderId="0" xfId="0" applyFont="1"/>
    <xf numFmtId="0" fontId="3" fillId="0" borderId="0" xfId="0" applyFont="1"/>
    <xf numFmtId="0" fontId="0" fillId="2" borderId="0" xfId="0" quotePrefix="1" applyFill="1" applyAlignment="1">
      <alignment horizontal="right"/>
    </xf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38100</xdr:rowOff>
    </xdr:from>
    <xdr:to>
      <xdr:col>5</xdr:col>
      <xdr:colOff>561312</xdr:colOff>
      <xdr:row>2</xdr:row>
      <xdr:rowOff>138529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87F602-342D-DF9A-99CA-015E8F4A4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0" y="38100"/>
          <a:ext cx="3602962" cy="4687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220383</xdr:colOff>
      <xdr:row>0</xdr:row>
      <xdr:rowOff>0</xdr:rowOff>
    </xdr:from>
    <xdr:to>
      <xdr:col>15</xdr:col>
      <xdr:colOff>582333</xdr:colOff>
      <xdr:row>2</xdr:row>
      <xdr:rowOff>99720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04CD4A4-5BA7-47D4-B2D6-E8EE976C9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0971" y="0"/>
          <a:ext cx="1885950" cy="473249"/>
        </a:xfrm>
        <a:prstGeom prst="rect">
          <a:avLst/>
        </a:prstGeom>
      </xdr:spPr>
    </xdr:pic>
    <xdr:clientData/>
  </xdr:twoCellAnchor>
  <xdr:twoCellAnchor editAs="oneCell">
    <xdr:from>
      <xdr:col>12</xdr:col>
      <xdr:colOff>177426</xdr:colOff>
      <xdr:row>2</xdr:row>
      <xdr:rowOff>115048</xdr:rowOff>
    </xdr:from>
    <xdr:to>
      <xdr:col>17</xdr:col>
      <xdr:colOff>761934</xdr:colOff>
      <xdr:row>6</xdr:row>
      <xdr:rowOff>122492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C6384EB-7E67-D3D3-ED1E-ECE379144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6014" y="488577"/>
          <a:ext cx="4394508" cy="754503"/>
        </a:xfrm>
        <a:prstGeom prst="rect">
          <a:avLst/>
        </a:prstGeom>
      </xdr:spPr>
    </xdr:pic>
    <xdr:clientData/>
  </xdr:twoCellAnchor>
  <xdr:twoCellAnchor editAs="oneCell">
    <xdr:from>
      <xdr:col>13</xdr:col>
      <xdr:colOff>354479</xdr:colOff>
      <xdr:row>6</xdr:row>
      <xdr:rowOff>168154</xdr:rowOff>
    </xdr:from>
    <xdr:to>
      <xdr:col>17</xdr:col>
      <xdr:colOff>62575</xdr:colOff>
      <xdr:row>8</xdr:row>
      <xdr:rowOff>162136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8051F26-C996-28E3-1BC2-95E913E94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65067" y="1288742"/>
          <a:ext cx="2756096" cy="3675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59765</xdr:colOff>
      <xdr:row>9</xdr:row>
      <xdr:rowOff>96699</xdr:rowOff>
    </xdr:from>
    <xdr:to>
      <xdr:col>17</xdr:col>
      <xdr:colOff>560119</xdr:colOff>
      <xdr:row>12</xdr:row>
      <xdr:rowOff>50829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DC6350-1182-E292-5129-73162C37F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70353" y="1777581"/>
          <a:ext cx="3548354" cy="514424"/>
        </a:xfrm>
        <a:prstGeom prst="rect">
          <a:avLst/>
        </a:prstGeom>
      </xdr:spPr>
    </xdr:pic>
    <xdr:clientData/>
  </xdr:twoCellAnchor>
  <xdr:twoCellAnchor editAs="oneCell">
    <xdr:from>
      <xdr:col>12</xdr:col>
      <xdr:colOff>739589</xdr:colOff>
      <xdr:row>0</xdr:row>
      <xdr:rowOff>69596</xdr:rowOff>
    </xdr:from>
    <xdr:to>
      <xdr:col>15</xdr:col>
      <xdr:colOff>648249</xdr:colOff>
      <xdr:row>3</xdr:row>
      <xdr:rowOff>17970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1A24537-8F8D-5F00-9FA6-3B004131F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8177" y="69596"/>
          <a:ext cx="2194660" cy="508668"/>
        </a:xfrm>
        <a:prstGeom prst="rect">
          <a:avLst/>
        </a:prstGeom>
      </xdr:spPr>
    </xdr:pic>
    <xdr:clientData/>
  </xdr:twoCellAnchor>
  <xdr:twoCellAnchor editAs="oneCell">
    <xdr:from>
      <xdr:col>13</xdr:col>
      <xdr:colOff>39501</xdr:colOff>
      <xdr:row>3</xdr:row>
      <xdr:rowOff>164353</xdr:rowOff>
    </xdr:from>
    <xdr:to>
      <xdr:col>18</xdr:col>
      <xdr:colOff>656956</xdr:colOff>
      <xdr:row>8</xdr:row>
      <xdr:rowOff>112058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A65B778-61FE-D27B-820A-B92841656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50089" y="724647"/>
          <a:ext cx="4427455" cy="881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218D3-D1FA-4744-895F-FB82E41C32C9}">
  <dimension ref="A2:G23"/>
  <sheetViews>
    <sheetView tabSelected="1" workbookViewId="0">
      <selection activeCell="I14" sqref="I14"/>
    </sheetView>
  </sheetViews>
  <sheetFormatPr baseColWidth="10" defaultRowHeight="14.5" x14ac:dyDescent="0.35"/>
  <cols>
    <col min="3" max="3" width="11.7265625" bestFit="1" customWidth="1"/>
    <col min="7" max="7" width="12.453125" style="2" customWidth="1"/>
  </cols>
  <sheetData>
    <row r="2" spans="1:7" x14ac:dyDescent="0.35">
      <c r="A2" t="s">
        <v>0</v>
      </c>
    </row>
    <row r="4" spans="1:7" x14ac:dyDescent="0.35">
      <c r="A4" s="1" t="s">
        <v>1</v>
      </c>
      <c r="B4" t="s">
        <v>3</v>
      </c>
      <c r="C4" t="s">
        <v>4</v>
      </c>
    </row>
    <row r="5" spans="1:7" x14ac:dyDescent="0.35">
      <c r="A5" t="s">
        <v>2</v>
      </c>
      <c r="B5">
        <v>-30</v>
      </c>
      <c r="C5">
        <f>RADIANS(B5)</f>
        <v>-0.52359877559829882</v>
      </c>
      <c r="E5" t="s">
        <v>4</v>
      </c>
      <c r="F5" t="s">
        <v>3</v>
      </c>
    </row>
    <row r="6" spans="1:7" x14ac:dyDescent="0.35">
      <c r="A6" t="s">
        <v>5</v>
      </c>
      <c r="B6">
        <f>32+25/60</f>
        <v>32.416666666666664</v>
      </c>
      <c r="C6">
        <f t="shared" ref="C6:C7" si="0">RADIANS(B6)</f>
        <v>0.56577756585482841</v>
      </c>
      <c r="D6" t="s">
        <v>7</v>
      </c>
      <c r="E6">
        <f>ASIN(COS(C6)*SIN(C5)-(SIN(C6)*COS(C5)*COS(C7)))</f>
        <v>-1.089376341453127</v>
      </c>
      <c r="F6" s="12">
        <f>+DEGREES(E6)</f>
        <v>-62.41666666666665</v>
      </c>
    </row>
    <row r="7" spans="1:7" x14ac:dyDescent="0.35">
      <c r="A7" t="s">
        <v>6</v>
      </c>
      <c r="B7">
        <v>0</v>
      </c>
      <c r="C7">
        <f t="shared" si="0"/>
        <v>0</v>
      </c>
      <c r="F7">
        <f>+(F6+62)*60</f>
        <v>-24.999999999999005</v>
      </c>
      <c r="G7" s="13" t="s">
        <v>39</v>
      </c>
    </row>
    <row r="9" spans="1:7" x14ac:dyDescent="0.35">
      <c r="A9" s="1" t="s">
        <v>8</v>
      </c>
      <c r="B9" t="s">
        <v>3</v>
      </c>
      <c r="C9" t="s">
        <v>4</v>
      </c>
    </row>
    <row r="10" spans="1:7" x14ac:dyDescent="0.35">
      <c r="A10" t="s">
        <v>2</v>
      </c>
      <c r="B10">
        <v>-20</v>
      </c>
      <c r="C10">
        <f>RADIANS(B10)</f>
        <v>-0.3490658503988659</v>
      </c>
      <c r="E10" t="s">
        <v>4</v>
      </c>
      <c r="F10" t="s">
        <v>3</v>
      </c>
    </row>
    <row r="11" spans="1:7" x14ac:dyDescent="0.35">
      <c r="A11" t="s">
        <v>5</v>
      </c>
      <c r="B11">
        <f>40</f>
        <v>40</v>
      </c>
      <c r="C11">
        <f t="shared" ref="C11:C12" si="1">RADIANS(B11)</f>
        <v>0.69813170079773179</v>
      </c>
      <c r="D11" t="s">
        <v>7</v>
      </c>
      <c r="E11">
        <f>ASIN(COS(C11)*SIN(C10)-SIN(C11)*COS(C10)*COS(C12))</f>
        <v>0.3490658503988659</v>
      </c>
      <c r="F11">
        <f>+DEGREES(E11)</f>
        <v>20</v>
      </c>
      <c r="G11" s="14" t="s">
        <v>10</v>
      </c>
    </row>
    <row r="12" spans="1:7" x14ac:dyDescent="0.35">
      <c r="A12" t="s">
        <v>6</v>
      </c>
      <c r="B12">
        <v>180</v>
      </c>
      <c r="C12">
        <f t="shared" si="1"/>
        <v>3.1415926535897931</v>
      </c>
    </row>
    <row r="14" spans="1:7" x14ac:dyDescent="0.35">
      <c r="A14" s="1" t="s">
        <v>9</v>
      </c>
      <c r="B14" t="s">
        <v>3</v>
      </c>
      <c r="C14" t="s">
        <v>4</v>
      </c>
    </row>
    <row r="15" spans="1:7" x14ac:dyDescent="0.35">
      <c r="A15" t="s">
        <v>2</v>
      </c>
      <c r="B15">
        <v>-30</v>
      </c>
      <c r="C15">
        <f>RADIANS(B15)</f>
        <v>-0.52359877559829882</v>
      </c>
      <c r="E15" t="s">
        <v>4</v>
      </c>
      <c r="F15" t="s">
        <v>3</v>
      </c>
    </row>
    <row r="16" spans="1:7" x14ac:dyDescent="0.35">
      <c r="A16" t="s">
        <v>5</v>
      </c>
      <c r="B16">
        <f>52+15/60</f>
        <v>52.25</v>
      </c>
      <c r="C16">
        <f t="shared" ref="C16:C17" si="2">RADIANS(B16)</f>
        <v>0.91193453416703718</v>
      </c>
      <c r="D16" t="s">
        <v>7</v>
      </c>
      <c r="E16">
        <f>ASIN(COS(C16)*SIN(C15)-SIN(C16)*COS(C15)*COS(C17))</f>
        <v>0.17904290545062893</v>
      </c>
      <c r="F16">
        <f>+DEGREES(E16)</f>
        <v>10.258402834080879</v>
      </c>
      <c r="G16" s="14" t="s">
        <v>11</v>
      </c>
    </row>
    <row r="17" spans="1:7" x14ac:dyDescent="0.35">
      <c r="A17" t="s">
        <v>6</v>
      </c>
      <c r="B17">
        <v>135</v>
      </c>
      <c r="C17">
        <f t="shared" si="2"/>
        <v>2.3561944901923448</v>
      </c>
      <c r="F17">
        <f>+(F16-10)*60</f>
        <v>15.504170044852756</v>
      </c>
    </row>
    <row r="18" spans="1:7" x14ac:dyDescent="0.35">
      <c r="F18">
        <f>+(F17-15)*60</f>
        <v>30.250202691165384</v>
      </c>
    </row>
    <row r="19" spans="1:7" x14ac:dyDescent="0.35">
      <c r="A19" s="1" t="s">
        <v>9</v>
      </c>
      <c r="B19" t="s">
        <v>3</v>
      </c>
      <c r="C19" t="s">
        <v>4</v>
      </c>
    </row>
    <row r="20" spans="1:7" x14ac:dyDescent="0.35">
      <c r="A20" t="s">
        <v>2</v>
      </c>
      <c r="B20">
        <v>-40</v>
      </c>
      <c r="C20">
        <f>RADIANS(B20)</f>
        <v>-0.69813170079773179</v>
      </c>
      <c r="E20" t="s">
        <v>4</v>
      </c>
      <c r="F20" t="s">
        <v>3</v>
      </c>
    </row>
    <row r="21" spans="1:7" x14ac:dyDescent="0.35">
      <c r="A21" t="s">
        <v>5</v>
      </c>
      <c r="B21">
        <f>52</f>
        <v>52</v>
      </c>
      <c r="C21">
        <f t="shared" ref="C21:C22" si="3">RADIANS(B21)</f>
        <v>0.90757121103705141</v>
      </c>
      <c r="D21" t="s">
        <v>7</v>
      </c>
      <c r="E21">
        <f>ASIN(COS(C21)*SIN(C20)-SIN(C21)*COS(C20)*COS(C22))</f>
        <v>-0.77199376265165631</v>
      </c>
      <c r="F21">
        <f>+DEGREES(E21)</f>
        <v>-44.231984410364106</v>
      </c>
      <c r="G21" s="13" t="s">
        <v>12</v>
      </c>
    </row>
    <row r="22" spans="1:7" x14ac:dyDescent="0.35">
      <c r="A22" t="s">
        <v>6</v>
      </c>
      <c r="B22">
        <v>60</v>
      </c>
      <c r="C22">
        <f t="shared" si="3"/>
        <v>1.0471975511965976</v>
      </c>
      <c r="F22">
        <f>+(F21+44)*60</f>
        <v>-13.91906462184636</v>
      </c>
    </row>
    <row r="23" spans="1:7" x14ac:dyDescent="0.35">
      <c r="F23">
        <f>+(F22+13)*60</f>
        <v>-55.14387731078159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E07BB-8530-471F-A9A4-9BE5F8A99DA5}">
  <dimension ref="A1:L21"/>
  <sheetViews>
    <sheetView zoomScale="85" zoomScaleNormal="85" workbookViewId="0">
      <selection activeCell="C28" sqref="C28"/>
    </sheetView>
  </sheetViews>
  <sheetFormatPr baseColWidth="10" defaultRowHeight="14.5" x14ac:dyDescent="0.35"/>
  <cols>
    <col min="11" max="11" width="12.36328125" bestFit="1" customWidth="1"/>
  </cols>
  <sheetData>
    <row r="1" spans="1:12" x14ac:dyDescent="0.35">
      <c r="A1" t="s">
        <v>13</v>
      </c>
      <c r="B1" s="6" t="s">
        <v>20</v>
      </c>
      <c r="C1" s="7">
        <f>-34-24/60</f>
        <v>-34.4</v>
      </c>
      <c r="D1" s="6">
        <f>+RADIANS(C1)</f>
        <v>-0.60039326268604931</v>
      </c>
    </row>
    <row r="3" spans="1:12" x14ac:dyDescent="0.35">
      <c r="A3" s="6" t="s">
        <v>14</v>
      </c>
      <c r="B3" s="6" t="s">
        <v>16</v>
      </c>
      <c r="C3" s="6" t="s">
        <v>17</v>
      </c>
      <c r="D3" s="6" t="s">
        <v>18</v>
      </c>
      <c r="F3" s="4"/>
      <c r="G3" s="4" t="s">
        <v>26</v>
      </c>
      <c r="H3" s="4" t="s">
        <v>18</v>
      </c>
      <c r="I3" s="4" t="s">
        <v>17</v>
      </c>
      <c r="J3" s="4" t="s">
        <v>24</v>
      </c>
      <c r="K3" s="4" t="s">
        <v>25</v>
      </c>
    </row>
    <row r="4" spans="1:12" x14ac:dyDescent="0.35">
      <c r="A4" s="6" t="s">
        <v>15</v>
      </c>
      <c r="B4" s="6">
        <f>7+6/60</f>
        <v>7.1</v>
      </c>
      <c r="C4" s="6">
        <f>+B4*15</f>
        <v>106.5</v>
      </c>
      <c r="D4" s="6">
        <f>+RADIANS(C4)</f>
        <v>1.858775653373961</v>
      </c>
      <c r="F4" s="4" t="s">
        <v>21</v>
      </c>
      <c r="G4" s="4">
        <f>+(SIN(D4)/(SIN($D$1)*COS(D4)-COS($D$1)*TAN(D5)))</f>
        <v>0.51766738341814045</v>
      </c>
      <c r="H4" s="4">
        <f>+ATAN((SIN(D4)/(SIN($D$1)*COS(D4)-COS($D$1)*TAN(D5))))</f>
        <v>0.4776814116147528</v>
      </c>
      <c r="I4" s="5">
        <f>+DEGREES(H4)</f>
        <v>27.369128837376799</v>
      </c>
      <c r="J4" s="5">
        <f t="shared" ref="J4:K6" si="0">(I4-(INT(I4)))*60</f>
        <v>22.147730242607935</v>
      </c>
      <c r="K4" s="5">
        <f t="shared" si="0"/>
        <v>8.8638145564760862</v>
      </c>
      <c r="L4" t="s">
        <v>31</v>
      </c>
    </row>
    <row r="5" spans="1:12" x14ac:dyDescent="0.35">
      <c r="A5" s="6" t="s">
        <v>19</v>
      </c>
      <c r="B5" s="6"/>
      <c r="C5" s="6">
        <v>-64</v>
      </c>
      <c r="D5" s="6">
        <f>+RADIANS(C5)</f>
        <v>-1.1170107212763709</v>
      </c>
      <c r="F5" s="4" t="s">
        <v>5</v>
      </c>
      <c r="G5" s="4"/>
      <c r="H5" s="4">
        <f>ACOS(SIN($D$1)*SIN(D5)+COS($D$1)*COS(D5)*COS(D4))</f>
        <v>1.1537530330939416</v>
      </c>
      <c r="I5" s="5">
        <f>+DEGREES(H5)</f>
        <v>66.10517939670045</v>
      </c>
      <c r="J5" s="5">
        <f t="shared" si="0"/>
        <v>6.3107638020269974</v>
      </c>
      <c r="K5" s="5">
        <f t="shared" si="0"/>
        <v>18.645828121619843</v>
      </c>
    </row>
    <row r="6" spans="1:12" x14ac:dyDescent="0.35">
      <c r="F6" s="4" t="s">
        <v>22</v>
      </c>
      <c r="G6" s="4"/>
      <c r="H6" s="4">
        <f>+PI()/2-H5</f>
        <v>0.41704329370095494</v>
      </c>
      <c r="I6" s="5">
        <f>+DEGREES(H6)</f>
        <v>23.89482060329955</v>
      </c>
      <c r="J6" s="5">
        <f t="shared" si="0"/>
        <v>53.689236197973003</v>
      </c>
      <c r="K6" s="5">
        <f t="shared" si="0"/>
        <v>41.354171878380157</v>
      </c>
      <c r="L6" t="s">
        <v>32</v>
      </c>
    </row>
    <row r="8" spans="1:12" x14ac:dyDescent="0.35">
      <c r="A8" s="6" t="s">
        <v>23</v>
      </c>
      <c r="B8" s="6" t="s">
        <v>16</v>
      </c>
      <c r="C8" s="6" t="s">
        <v>17</v>
      </c>
      <c r="D8" s="6" t="s">
        <v>18</v>
      </c>
      <c r="F8" s="4"/>
      <c r="G8" s="4" t="s">
        <v>26</v>
      </c>
      <c r="H8" s="4" t="s">
        <v>18</v>
      </c>
      <c r="I8" s="4" t="s">
        <v>17</v>
      </c>
      <c r="J8" s="4" t="s">
        <v>24</v>
      </c>
      <c r="K8" s="4" t="s">
        <v>25</v>
      </c>
    </row>
    <row r="9" spans="1:12" x14ac:dyDescent="0.35">
      <c r="A9" s="6" t="s">
        <v>15</v>
      </c>
      <c r="B9" s="6">
        <f>15+25/60</f>
        <v>15.416666666666666</v>
      </c>
      <c r="C9" s="6">
        <f>+B9*15</f>
        <v>231.25</v>
      </c>
      <c r="D9" s="6">
        <f>+RADIANS(C9)</f>
        <v>4.0360738952368873</v>
      </c>
      <c r="F9" s="4" t="s">
        <v>21</v>
      </c>
      <c r="G9" s="4">
        <f>+(SIN(D9)/(SIN($D$1)*COS(D9)-COS($D$1)*TAN(D10)))</f>
        <v>-2.6353809990653474</v>
      </c>
      <c r="H9" s="4">
        <f>+ATAN((SIN(D9)/(SIN($D$1)*COS(D9)-COS($D$1)*TAN(D10))))</f>
        <v>-1.2081284534933829</v>
      </c>
      <c r="I9" s="5">
        <f>+DEGREES(H9)+360</f>
        <v>290.779338505162</v>
      </c>
      <c r="J9" s="5">
        <f t="shared" ref="J9:K11" si="1">(I9-(INT(I9)))*60</f>
        <v>46.760310309720126</v>
      </c>
      <c r="K9" s="5">
        <f t="shared" si="1"/>
        <v>45.618618583207535</v>
      </c>
      <c r="L9" t="s">
        <v>33</v>
      </c>
    </row>
    <row r="10" spans="1:12" x14ac:dyDescent="0.35">
      <c r="A10" s="6" t="s">
        <v>19</v>
      </c>
      <c r="B10" s="6"/>
      <c r="C10" s="6">
        <v>4</v>
      </c>
      <c r="D10" s="6">
        <f>+RADIANS(C10)</f>
        <v>6.9813170079773182E-2</v>
      </c>
      <c r="F10" s="4" t="s">
        <v>5</v>
      </c>
      <c r="G10" s="4"/>
      <c r="H10" s="4">
        <f>ACOS(SIN($D$1)*SIN(D10)+COS($D$1)*COS(D10)*COS(D9))</f>
        <v>2.1586904672656173</v>
      </c>
      <c r="I10" s="5">
        <f>+DEGREES(H10)</f>
        <v>123.68385304944346</v>
      </c>
      <c r="J10" s="5">
        <f t="shared" si="1"/>
        <v>41.031182966607389</v>
      </c>
      <c r="K10" s="5">
        <f t="shared" si="1"/>
        <v>1.8709779964433437</v>
      </c>
    </row>
    <row r="11" spans="1:12" x14ac:dyDescent="0.35">
      <c r="F11" s="4" t="s">
        <v>22</v>
      </c>
      <c r="G11" s="4"/>
      <c r="H11" s="4">
        <f>+PI()/2-H10</f>
        <v>-0.58789414047072075</v>
      </c>
      <c r="I11" s="5">
        <f>+DEGREES(H11)</f>
        <v>-33.683853049443464</v>
      </c>
      <c r="J11" s="5">
        <f t="shared" si="1"/>
        <v>18.968817033392185</v>
      </c>
      <c r="K11" s="5">
        <f t="shared" si="1"/>
        <v>58.129022003531077</v>
      </c>
      <c r="L11" t="s">
        <v>34</v>
      </c>
    </row>
    <row r="13" spans="1:12" x14ac:dyDescent="0.35">
      <c r="A13" s="6" t="s">
        <v>27</v>
      </c>
      <c r="B13" s="6" t="s">
        <v>16</v>
      </c>
      <c r="C13" s="6" t="s">
        <v>17</v>
      </c>
      <c r="D13" s="6" t="s">
        <v>18</v>
      </c>
      <c r="F13" s="4"/>
      <c r="G13" s="4" t="s">
        <v>26</v>
      </c>
      <c r="H13" s="4" t="s">
        <v>18</v>
      </c>
      <c r="I13" s="4" t="s">
        <v>17</v>
      </c>
      <c r="J13" s="4" t="s">
        <v>24</v>
      </c>
      <c r="K13" s="4" t="s">
        <v>25</v>
      </c>
    </row>
    <row r="14" spans="1:12" x14ac:dyDescent="0.35">
      <c r="A14" s="6" t="s">
        <v>15</v>
      </c>
      <c r="B14" s="6">
        <f>1+39/60</f>
        <v>1.65</v>
      </c>
      <c r="C14" s="6">
        <f>+B14*15</f>
        <v>24.75</v>
      </c>
      <c r="D14" s="6">
        <f>+RADIANS(C14)</f>
        <v>0.43196898986859655</v>
      </c>
      <c r="F14" s="4" t="s">
        <v>21</v>
      </c>
      <c r="G14" s="4">
        <f>+(SIN(D14)/(SIN($D$1)*COS(D14)-COS($D$1)*TAN(D15)))</f>
        <v>-0.57025725523713111</v>
      </c>
      <c r="H14" s="4">
        <f>+ATAN((SIN(D14)/(SIN($D$1)*COS(D14)-COS($D$1)*TAN(D15))))</f>
        <v>-0.51826267651687929</v>
      </c>
      <c r="I14" s="5">
        <f>+DEGREES(H14)+180</f>
        <v>150.30573595642898</v>
      </c>
      <c r="J14" s="5">
        <f t="shared" ref="J14:K16" si="2">(I14-(INT(I14)))*60</f>
        <v>18.344157385738527</v>
      </c>
      <c r="K14" s="5">
        <f t="shared" si="2"/>
        <v>20.64944314431159</v>
      </c>
      <c r="L14" t="s">
        <v>35</v>
      </c>
    </row>
    <row r="15" spans="1:12" x14ac:dyDescent="0.35">
      <c r="A15" s="6" t="s">
        <v>19</v>
      </c>
      <c r="B15" s="6"/>
      <c r="C15" s="6">
        <v>15</v>
      </c>
      <c r="D15" s="6">
        <f>+RADIANS(C15)</f>
        <v>0.26179938779914941</v>
      </c>
      <c r="F15" s="4" t="s">
        <v>5</v>
      </c>
      <c r="G15" s="4"/>
      <c r="H15" s="4">
        <f>ACOS(SIN($D$1)*SIN(D15)+COS($D$1)*COS(D15)*COS(D14))</f>
        <v>0.9550542520473041</v>
      </c>
      <c r="I15" s="5">
        <f>+DEGREES(H15)</f>
        <v>54.720577848334088</v>
      </c>
      <c r="J15" s="5">
        <f t="shared" si="2"/>
        <v>43.234670900045273</v>
      </c>
      <c r="K15" s="5">
        <f t="shared" si="2"/>
        <v>14.080254002716401</v>
      </c>
    </row>
    <row r="16" spans="1:12" x14ac:dyDescent="0.35">
      <c r="F16" s="4" t="s">
        <v>22</v>
      </c>
      <c r="G16" s="4"/>
      <c r="H16" s="4">
        <f>+PI()/2-H15</f>
        <v>0.61574207474759246</v>
      </c>
      <c r="I16" s="5">
        <f>+DEGREES(H16)</f>
        <v>35.279422151665912</v>
      </c>
      <c r="J16" s="5">
        <f t="shared" si="2"/>
        <v>16.765329099954727</v>
      </c>
      <c r="K16" s="5">
        <f t="shared" si="2"/>
        <v>45.919745997283599</v>
      </c>
      <c r="L16" t="s">
        <v>30</v>
      </c>
    </row>
    <row r="18" spans="1:12" x14ac:dyDescent="0.35">
      <c r="A18" s="6" t="s">
        <v>28</v>
      </c>
      <c r="B18" s="6" t="s">
        <v>16</v>
      </c>
      <c r="C18" s="6" t="s">
        <v>17</v>
      </c>
      <c r="D18" s="6" t="s">
        <v>18</v>
      </c>
      <c r="F18" s="4"/>
      <c r="G18" s="4" t="s">
        <v>26</v>
      </c>
      <c r="H18" s="4" t="s">
        <v>18</v>
      </c>
      <c r="I18" s="4" t="s">
        <v>17</v>
      </c>
      <c r="J18" s="4" t="s">
        <v>24</v>
      </c>
      <c r="K18" s="4" t="s">
        <v>25</v>
      </c>
    </row>
    <row r="19" spans="1:12" x14ac:dyDescent="0.35">
      <c r="A19" s="6" t="s">
        <v>15</v>
      </c>
      <c r="B19" s="6">
        <f>23+15/60</f>
        <v>23.25</v>
      </c>
      <c r="C19" s="6">
        <f>+B19*15</f>
        <v>348.75</v>
      </c>
      <c r="D19" s="6">
        <f>+RADIANS(C19)</f>
        <v>6.0868357663302239</v>
      </c>
      <c r="F19" s="4" t="s">
        <v>21</v>
      </c>
      <c r="G19" s="4">
        <f>+(SIN(D19)/(SIN($D$1)*COS(D19)-COS($D$1)*TAN(D20)))</f>
        <v>2.016574161604872</v>
      </c>
      <c r="H19" s="4">
        <f>+ATAN((SIN(D19)/(SIN($D$1)*COS(D19)-COS($D$1)*TAN(D20))))</f>
        <v>1.1104417067210346</v>
      </c>
      <c r="I19" s="5">
        <f>+DEGREES(H19)+180</f>
        <v>243.62362319041921</v>
      </c>
      <c r="J19" s="5">
        <f t="shared" ref="J19:K21" si="3">(I19-(INT(I19)))*60</f>
        <v>37.417391425152573</v>
      </c>
      <c r="K19" s="5">
        <f t="shared" si="3"/>
        <v>25.04348550915438</v>
      </c>
      <c r="L19" t="s">
        <v>29</v>
      </c>
    </row>
    <row r="20" spans="1:12" x14ac:dyDescent="0.35">
      <c r="A20" s="6" t="s">
        <v>19</v>
      </c>
      <c r="B20" s="6"/>
      <c r="C20" s="6">
        <v>-29</v>
      </c>
      <c r="D20" s="6">
        <f>+RADIANS(C20)</f>
        <v>-0.50614548307835561</v>
      </c>
      <c r="F20" s="4" t="s">
        <v>5</v>
      </c>
      <c r="G20" s="4"/>
      <c r="H20" s="4">
        <f>ACOS(SIN($D$1)*SIN(D20)+COS($D$1)*COS(D20)*COS(D19))</f>
        <v>0.19162806132872157</v>
      </c>
      <c r="I20" s="5">
        <f>+DEGREES(H20)</f>
        <v>10.979479150409848</v>
      </c>
      <c r="J20" s="5">
        <f t="shared" si="3"/>
        <v>58.768749024590861</v>
      </c>
      <c r="K20" s="5">
        <f t="shared" si="3"/>
        <v>46.124941475451635</v>
      </c>
    </row>
    <row r="21" spans="1:12" x14ac:dyDescent="0.35">
      <c r="F21" s="4" t="s">
        <v>22</v>
      </c>
      <c r="G21" s="4"/>
      <c r="H21" s="4">
        <f>+PI()/2-H20</f>
        <v>1.379168265466175</v>
      </c>
      <c r="I21" s="5">
        <f>+DEGREES(H21)</f>
        <v>79.020520849590156</v>
      </c>
      <c r="J21" s="5">
        <f t="shared" si="3"/>
        <v>1.2312509754093526</v>
      </c>
      <c r="K21" s="5">
        <f t="shared" si="3"/>
        <v>13.875058524561155</v>
      </c>
      <c r="L21" t="s">
        <v>30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D17D1-9584-46E2-B65F-AD7079DBC798}">
  <dimension ref="A1:L21"/>
  <sheetViews>
    <sheetView topLeftCell="E1" zoomScale="85" zoomScaleNormal="85" workbookViewId="0">
      <selection activeCell="K22" sqref="K22"/>
    </sheetView>
  </sheetViews>
  <sheetFormatPr baseColWidth="10" defaultRowHeight="14.5" x14ac:dyDescent="0.35"/>
  <cols>
    <col min="11" max="11" width="12.36328125" bestFit="1" customWidth="1"/>
  </cols>
  <sheetData>
    <row r="1" spans="1:12" x14ac:dyDescent="0.35">
      <c r="A1" t="s">
        <v>36</v>
      </c>
      <c r="B1" s="6" t="s">
        <v>20</v>
      </c>
      <c r="C1" s="7">
        <f>-56-12/60</f>
        <v>-56.2</v>
      </c>
      <c r="D1" s="6">
        <f>+RADIANS(C1)</f>
        <v>-0.98087503962081324</v>
      </c>
    </row>
    <row r="3" spans="1:12" x14ac:dyDescent="0.35">
      <c r="A3" s="6" t="s">
        <v>14</v>
      </c>
      <c r="B3" s="6"/>
      <c r="C3" s="6" t="s">
        <v>17</v>
      </c>
      <c r="D3" s="6" t="s">
        <v>18</v>
      </c>
      <c r="F3" s="4"/>
      <c r="G3" s="4" t="s">
        <v>26</v>
      </c>
      <c r="H3" s="4" t="s">
        <v>18</v>
      </c>
      <c r="I3" s="4" t="s">
        <v>17</v>
      </c>
      <c r="J3" s="4" t="s">
        <v>24</v>
      </c>
      <c r="K3" s="4" t="s">
        <v>25</v>
      </c>
    </row>
    <row r="4" spans="1:12" x14ac:dyDescent="0.35">
      <c r="A4" s="6" t="s">
        <v>21</v>
      </c>
      <c r="B4" s="6"/>
      <c r="C4" s="6">
        <f>19+41/60</f>
        <v>19.683333333333334</v>
      </c>
      <c r="D4" s="6">
        <f>+RADIANS(C4)</f>
        <v>0.34353897443421721</v>
      </c>
      <c r="F4" s="4" t="s">
        <v>15</v>
      </c>
      <c r="G4" s="4">
        <f>+(SIN(D4)/(COS($D$1)*_xlfn.COT(D5)+SIN($D$1)*COS(D4)))</f>
        <v>-0.67501699192276832</v>
      </c>
      <c r="H4" s="4">
        <f>+ATAN(SIN(D4)/(COS($D$1)*_xlfn.COT(D5)+SIN($D$1)*COS(D4)))</f>
        <v>-0.59376133990193047</v>
      </c>
      <c r="I4" s="5">
        <f>+DEGREES(H4)+180</f>
        <v>145.97998118558667</v>
      </c>
      <c r="J4" s="5">
        <f>(I4-(INT(I4)))*60</f>
        <v>58.798871135199988</v>
      </c>
      <c r="K4" s="5">
        <f>(J4-(INT(J4)))*60</f>
        <v>47.932268111999292</v>
      </c>
      <c r="L4" t="s">
        <v>37</v>
      </c>
    </row>
    <row r="5" spans="1:12" x14ac:dyDescent="0.35">
      <c r="A5" s="6" t="s">
        <v>5</v>
      </c>
      <c r="B5" s="6"/>
      <c r="C5" s="6">
        <v>63</v>
      </c>
      <c r="D5" s="6">
        <f>+RADIANS(C5)</f>
        <v>1.0995574287564276</v>
      </c>
      <c r="F5" s="8"/>
      <c r="G5" s="8"/>
      <c r="H5" s="8"/>
      <c r="I5" s="9">
        <f>+I4/15</f>
        <v>9.7319987457057771</v>
      </c>
      <c r="J5" s="10">
        <f>(I5-(INT(I5)))*60</f>
        <v>43.919924742346623</v>
      </c>
      <c r="K5" s="10">
        <f>(J5-(INT(J5)))*60</f>
        <v>55.195484540797395</v>
      </c>
      <c r="L5" s="11" t="s">
        <v>38</v>
      </c>
    </row>
    <row r="6" spans="1:12" x14ac:dyDescent="0.35">
      <c r="F6" s="4" t="s">
        <v>7</v>
      </c>
      <c r="G6" s="4"/>
      <c r="H6" s="4">
        <f>ASIN(COS(D5)*SIN($D$1)-SIN(D5)*COS($D$1)*COS(D4))</f>
        <v>-1.0046229489543115</v>
      </c>
      <c r="I6" s="10">
        <f>+DEGREES(H6)</f>
        <v>-57.560654977068786</v>
      </c>
      <c r="J6" s="10">
        <f>+(I6+57)*60</f>
        <v>-33.639298624127179</v>
      </c>
      <c r="K6" s="10">
        <f>(J6+33)*60</f>
        <v>-38.357917447630712</v>
      </c>
    </row>
    <row r="7" spans="1:12" x14ac:dyDescent="0.35">
      <c r="J7" s="3"/>
    </row>
    <row r="8" spans="1:12" x14ac:dyDescent="0.35">
      <c r="A8" s="6" t="s">
        <v>14</v>
      </c>
      <c r="B8" s="6"/>
      <c r="C8" s="6" t="s">
        <v>17</v>
      </c>
      <c r="D8" s="6" t="s">
        <v>18</v>
      </c>
      <c r="F8" s="4"/>
      <c r="G8" s="4" t="s">
        <v>26</v>
      </c>
      <c r="H8" s="4" t="s">
        <v>18</v>
      </c>
      <c r="I8" s="4" t="s">
        <v>17</v>
      </c>
      <c r="J8" s="4" t="s">
        <v>24</v>
      </c>
      <c r="K8" s="4" t="s">
        <v>25</v>
      </c>
    </row>
    <row r="9" spans="1:12" x14ac:dyDescent="0.35">
      <c r="A9" s="6" t="s">
        <v>21</v>
      </c>
      <c r="B9" s="6"/>
      <c r="C9" s="6">
        <f>40+30/60</f>
        <v>40.5</v>
      </c>
      <c r="D9" s="6">
        <f>+RADIANS(C9)</f>
        <v>0.70685834705770345</v>
      </c>
      <c r="F9" s="4" t="s">
        <v>15</v>
      </c>
      <c r="G9" s="4">
        <f>+(SIN(D9)/(COS($D$1)*_xlfn.COT(D10)+SIN($D$1)*COS(D9)))</f>
        <v>-2.7626242637321599</v>
      </c>
      <c r="H9" s="4">
        <f>+ATAN(SIN(D9)/(COS($D$1)*_xlfn.COT(D10)+SIN($D$1)*COS(D9)))</f>
        <v>-1.2234937350309967</v>
      </c>
      <c r="I9" s="5">
        <f>+DEGREES(H9)+180</f>
        <v>109.89897272202644</v>
      </c>
      <c r="J9" s="5">
        <f>(I9-(INT(I9)))*60</f>
        <v>53.938363321586564</v>
      </c>
      <c r="K9" s="5">
        <f>(J9-(INT(J9)))*60</f>
        <v>56.30179929519386</v>
      </c>
      <c r="L9" t="s">
        <v>37</v>
      </c>
    </row>
    <row r="10" spans="1:12" x14ac:dyDescent="0.35">
      <c r="A10" s="6" t="s">
        <v>5</v>
      </c>
      <c r="B10" s="6"/>
      <c r="C10" s="6">
        <f>90-C11</f>
        <v>54.5</v>
      </c>
      <c r="D10" s="6">
        <f>+RADIANS(C10)</f>
        <v>0.95120444233690959</v>
      </c>
      <c r="F10" s="8"/>
      <c r="G10" s="8"/>
      <c r="H10" s="8"/>
      <c r="I10" s="9">
        <f>+I9/15</f>
        <v>7.3265981814684293</v>
      </c>
      <c r="J10" s="10">
        <f>(I10-(INT(I10)))*60</f>
        <v>19.59589088810576</v>
      </c>
      <c r="K10" s="10">
        <f>(J10-(INT(J10)))*60</f>
        <v>35.753453286345618</v>
      </c>
      <c r="L10" s="11" t="s">
        <v>38</v>
      </c>
    </row>
    <row r="11" spans="1:12" x14ac:dyDescent="0.35">
      <c r="A11" s="6" t="s">
        <v>22</v>
      </c>
      <c r="C11">
        <f>35+30/60</f>
        <v>35.5</v>
      </c>
      <c r="F11" s="4" t="s">
        <v>7</v>
      </c>
      <c r="G11" s="4"/>
      <c r="H11" s="4">
        <f>ASIN(COS(D10)*SIN($D$1)-SIN(D10)*COS($D$1)*COS(D9))</f>
        <v>-0.97363398775537824</v>
      </c>
      <c r="I11" s="10">
        <f>+DEGREES(H11)</f>
        <v>-55.785118288875246</v>
      </c>
      <c r="J11" s="10">
        <f>+(I11+55)*60</f>
        <v>-47.107097332514769</v>
      </c>
      <c r="K11" s="10">
        <f>(J11+47)*60</f>
        <v>-6.425839950886143</v>
      </c>
    </row>
    <row r="13" spans="1:12" x14ac:dyDescent="0.35">
      <c r="A13" s="6" t="s">
        <v>14</v>
      </c>
      <c r="B13" s="6"/>
      <c r="C13" s="6" t="s">
        <v>17</v>
      </c>
      <c r="D13" s="6" t="s">
        <v>18</v>
      </c>
      <c r="F13" s="4"/>
      <c r="G13" s="4" t="s">
        <v>26</v>
      </c>
      <c r="H13" s="4" t="s">
        <v>18</v>
      </c>
      <c r="I13" s="4" t="s">
        <v>17</v>
      </c>
      <c r="J13" s="4" t="s">
        <v>24</v>
      </c>
      <c r="K13" s="4" t="s">
        <v>25</v>
      </c>
    </row>
    <row r="14" spans="1:12" x14ac:dyDescent="0.35">
      <c r="A14" s="6" t="s">
        <v>21</v>
      </c>
      <c r="B14" s="6"/>
      <c r="C14" s="6">
        <f>350+15/60</f>
        <v>350.25</v>
      </c>
      <c r="D14" s="6">
        <f>+RADIANS(C14)</f>
        <v>6.113015705110139</v>
      </c>
      <c r="F14" s="4" t="s">
        <v>15</v>
      </c>
      <c r="G14" s="4">
        <f>+(SIN(D14)/(COS($D$1)*_xlfn.COT(D15)+SIN($D$1)*COS(D14)))</f>
        <v>-0.34450840946281974</v>
      </c>
      <c r="H14" s="4">
        <f>+ATAN(SIN(D14)/(COS($D$1)*_xlfn.COT(D15)+SIN($D$1)*COS(D14)))</f>
        <v>-0.33177418163331229</v>
      </c>
      <c r="I14" s="5">
        <f>+DEGREES(H14)+360</f>
        <v>340.99073964100444</v>
      </c>
      <c r="J14" s="5">
        <f>(I14-(INT(I14)))*60</f>
        <v>59.444378460266307</v>
      </c>
      <c r="K14" s="5">
        <f>(J14-(INT(J14)))*60</f>
        <v>26.662707615978434</v>
      </c>
      <c r="L14" t="s">
        <v>33</v>
      </c>
    </row>
    <row r="15" spans="1:12" x14ac:dyDescent="0.35">
      <c r="A15" s="6" t="s">
        <v>5</v>
      </c>
      <c r="B15" s="6"/>
      <c r="C15" s="6">
        <v>23</v>
      </c>
      <c r="D15" s="6">
        <f>+RADIANS(C15)</f>
        <v>0.4014257279586958</v>
      </c>
      <c r="F15" s="8"/>
      <c r="G15" s="8"/>
      <c r="H15" s="8"/>
      <c r="I15" s="9">
        <f>+I14/15</f>
        <v>22.732715976066963</v>
      </c>
      <c r="J15" s="10">
        <f>(I15-(INT(I15)))*60</f>
        <v>43.962958564017782</v>
      </c>
      <c r="K15" s="10">
        <f>(J15-(INT(J15)))*60</f>
        <v>57.777513841066934</v>
      </c>
      <c r="L15" s="11" t="s">
        <v>38</v>
      </c>
    </row>
    <row r="16" spans="1:12" x14ac:dyDescent="0.35">
      <c r="F16" s="4" t="s">
        <v>7</v>
      </c>
      <c r="G16" s="4"/>
      <c r="H16" s="4">
        <f>ASIN(COS(D15)*SIN($D$1)-SIN(D15)*COS($D$1)*COS(D14))</f>
        <v>-1.3662226780232676</v>
      </c>
      <c r="I16" s="10">
        <f>+DEGREES(H16)</f>
        <v>-78.278793325793998</v>
      </c>
      <c r="J16" s="10">
        <f>+(I16+78)*60</f>
        <v>-16.727599547639898</v>
      </c>
      <c r="K16" s="10">
        <f>(J16+16)*60</f>
        <v>-43.655972858393852</v>
      </c>
    </row>
    <row r="18" spans="1:12" x14ac:dyDescent="0.35">
      <c r="A18" s="6" t="s">
        <v>14</v>
      </c>
      <c r="B18" s="6"/>
      <c r="C18" s="6" t="s">
        <v>17</v>
      </c>
      <c r="D18" s="6" t="s">
        <v>18</v>
      </c>
      <c r="F18" s="4"/>
      <c r="G18" s="4" t="s">
        <v>26</v>
      </c>
      <c r="H18" s="4" t="s">
        <v>18</v>
      </c>
      <c r="I18" s="4" t="s">
        <v>17</v>
      </c>
      <c r="J18" s="4" t="s">
        <v>24</v>
      </c>
      <c r="K18" s="4" t="s">
        <v>25</v>
      </c>
    </row>
    <row r="19" spans="1:12" x14ac:dyDescent="0.35">
      <c r="A19" s="6" t="s">
        <v>21</v>
      </c>
      <c r="B19" s="6"/>
      <c r="C19" s="6">
        <f>355+50/60</f>
        <v>355.83333333333331</v>
      </c>
      <c r="D19" s="6">
        <f>+RADIANS(C19)</f>
        <v>6.2104632550131553</v>
      </c>
      <c r="F19" s="4" t="s">
        <v>15</v>
      </c>
      <c r="G19" s="4">
        <f>+(SIN(D19)/(COS($D$1)*_xlfn.COT(D20)+SIN($D$1)*COS(D19)))</f>
        <v>0.10502657433552559</v>
      </c>
      <c r="H19" s="4">
        <f>+ATAN(SIN(D19)/(COS($D$1)*_xlfn.COT(D20)+SIN($D$1)*COS(D19)))</f>
        <v>0.10464294210835143</v>
      </c>
      <c r="I19" s="5">
        <f>+DEGREES(H19)+180</f>
        <v>185.99559893864034</v>
      </c>
      <c r="J19" s="5">
        <f>(I19-(INT(I19)))*60</f>
        <v>59.735936318420499</v>
      </c>
      <c r="K19" s="5">
        <f>(J19-(INT(J19)))*60</f>
        <v>44.156179105229967</v>
      </c>
      <c r="L19" t="s">
        <v>29</v>
      </c>
    </row>
    <row r="20" spans="1:12" x14ac:dyDescent="0.35">
      <c r="A20" s="6" t="s">
        <v>5</v>
      </c>
      <c r="B20" s="6"/>
      <c r="C20" s="6">
        <f>90-C21</f>
        <v>76.166666666666671</v>
      </c>
      <c r="D20" s="6">
        <f>+RADIANS(C20)</f>
        <v>1.3293591136023477</v>
      </c>
      <c r="F20" s="8"/>
      <c r="G20" s="8"/>
      <c r="H20" s="8"/>
      <c r="I20" s="9">
        <f>+I19/15</f>
        <v>12.399706595909356</v>
      </c>
      <c r="J20" s="10">
        <f>(I20-(INT(I20)))*60</f>
        <v>23.982395754561345</v>
      </c>
      <c r="K20" s="10">
        <f>(J20-(INT(J20)))*60</f>
        <v>58.943745273680719</v>
      </c>
      <c r="L20" s="11" t="s">
        <v>38</v>
      </c>
    </row>
    <row r="21" spans="1:12" x14ac:dyDescent="0.35">
      <c r="A21" s="6" t="s">
        <v>22</v>
      </c>
      <c r="C21">
        <f>13+50/60</f>
        <v>13.833333333333334</v>
      </c>
      <c r="F21" s="4" t="s">
        <v>7</v>
      </c>
      <c r="G21" s="4"/>
      <c r="H21" s="4">
        <f>ASIN(COS(D20)*SIN($D$1)-SIN(D20)*COS($D$1)*COS(D19))</f>
        <v>-0.82924232046552959</v>
      </c>
      <c r="I21" s="10">
        <f>+DEGREES(H21)</f>
        <v>-47.512085156309737</v>
      </c>
      <c r="J21" s="10">
        <f>+(I21+47)*60</f>
        <v>-30.72510937858425</v>
      </c>
      <c r="K21" s="10">
        <f>(J21+30)*60</f>
        <v>-43.506562715054997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FC272-1BC2-4F3A-BF81-30751F7DA96E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ej5</vt:lpstr>
      <vt:lpstr>ej9</vt:lpstr>
      <vt:lpstr>ej10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Camisay</dc:creator>
  <cp:lastModifiedBy>Maria Camisay</cp:lastModifiedBy>
  <dcterms:created xsi:type="dcterms:W3CDTF">2024-08-26T18:05:17Z</dcterms:created>
  <dcterms:modified xsi:type="dcterms:W3CDTF">2024-09-02T14:36:09Z</dcterms:modified>
</cp:coreProperties>
</file>