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0.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1.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2.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7.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8.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9.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0.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1.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2.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3.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mc:AlternateContent xmlns:mc="http://schemas.openxmlformats.org/markup-compatibility/2006">
    <mc:Choice Requires="x15">
      <x15ac:absPath xmlns:x15ac="http://schemas.microsoft.com/office/spreadsheetml/2010/11/ac" url="G:\Personales\Santiago Ferro\Facultad de Ingeniería\"/>
    </mc:Choice>
  </mc:AlternateContent>
  <xr:revisionPtr revIDLastSave="0" documentId="13_ncr:1_{76056810-5491-4F4A-85A6-1D3702E53239}" xr6:coauthVersionLast="47" xr6:coauthVersionMax="47" xr10:uidLastSave="{00000000-0000-0000-0000-000000000000}"/>
  <bookViews>
    <workbookView xWindow="-120" yWindow="-120" windowWidth="20730" windowHeight="11160" firstSheet="5" activeTab="11" xr2:uid="{00000000-000D-0000-FFFF-FFFF00000000}"/>
  </bookViews>
  <sheets>
    <sheet name="General" sheetId="1" r:id="rId1"/>
    <sheet name="Ingresos" sheetId="3" r:id="rId2"/>
    <sheet name="Inv Equipos" sheetId="5" r:id="rId3"/>
    <sheet name="Otras IA Tangibles" sheetId="7" r:id="rId4"/>
    <sheet name="IA Intangibles" sheetId="9" r:id="rId5"/>
    <sheet name="INA" sheetId="10" r:id="rId6"/>
    <sheet name="Inv Totales" sheetId="8" r:id="rId7"/>
    <sheet name="Cuadro Inv" sheetId="6" r:id="rId8"/>
    <sheet name="RRHH" sheetId="4" r:id="rId9"/>
    <sheet name="Amort" sheetId="11" r:id="rId10"/>
    <sheet name="MP EE Ins" sheetId="2" r:id="rId11"/>
    <sheet name="Sensibilidad" sheetId="18" r:id="rId12"/>
    <sheet name="Costos" sheetId="13" r:id="rId13"/>
    <sheet name="Costos Totales" sheetId="14" r:id="rId14"/>
    <sheet name="A Económico" sheetId="15" r:id="rId15"/>
    <sheet name="Pto Eq" sheetId="17" r:id="rId16"/>
    <sheet name="FF" sheetId="16" r:id="rId17"/>
    <sheet name="Préstamo" sheetId="19" r:id="rId18"/>
    <sheet name="Resultados" sheetId="21" r:id="rId1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7" i="21" l="1"/>
  <c r="K27" i="21"/>
  <c r="L27" i="21"/>
  <c r="M27" i="21"/>
  <c r="C27" i="21"/>
  <c r="D27" i="21"/>
  <c r="E27" i="21"/>
  <c r="F27" i="21"/>
  <c r="D30" i="16"/>
  <c r="AG48" i="13"/>
  <c r="AZ111" i="11"/>
  <c r="AY111" i="11"/>
  <c r="AY107" i="11"/>
  <c r="AY6" i="11"/>
  <c r="AJ8" i="13"/>
  <c r="A186" i="11"/>
  <c r="B186" i="11"/>
  <c r="C186" i="11"/>
  <c r="D186" i="11"/>
  <c r="E186" i="11"/>
  <c r="F186" i="11"/>
  <c r="G186" i="11"/>
  <c r="H186" i="11"/>
  <c r="I186" i="11"/>
  <c r="J186" i="11"/>
  <c r="K186" i="11"/>
  <c r="L186" i="11"/>
  <c r="M186" i="11"/>
  <c r="O186" i="11"/>
  <c r="P186" i="11"/>
  <c r="Q186" i="11"/>
  <c r="R186" i="11"/>
  <c r="S186" i="11"/>
  <c r="T186" i="11"/>
  <c r="U186" i="11"/>
  <c r="V186" i="11"/>
  <c r="W186" i="11"/>
  <c r="X186" i="11"/>
  <c r="Y186" i="11"/>
  <c r="Z186" i="11"/>
  <c r="AA186" i="11"/>
  <c r="AB186" i="11"/>
  <c r="AC186" i="11"/>
  <c r="AD186" i="11"/>
  <c r="AE186" i="11"/>
  <c r="AN186" i="11" s="1"/>
  <c r="AO186" i="11" s="1"/>
  <c r="AF186" i="11"/>
  <c r="AG186" i="11"/>
  <c r="AH186" i="11"/>
  <c r="AI186" i="11"/>
  <c r="AJ186" i="11"/>
  <c r="AK186" i="11"/>
  <c r="AL186" i="11"/>
  <c r="AM186" i="11"/>
  <c r="J106" i="6"/>
  <c r="K106" i="6"/>
  <c r="L106" i="6"/>
  <c r="M106" i="6"/>
  <c r="D100" i="6"/>
  <c r="D101" i="6"/>
  <c r="D102" i="6"/>
  <c r="D103" i="6"/>
  <c r="D104" i="6"/>
  <c r="D105" i="6"/>
  <c r="D106" i="6"/>
  <c r="D107" i="6"/>
  <c r="D26" i="6"/>
  <c r="K26" i="6" s="1"/>
  <c r="E41" i="13"/>
  <c r="E112" i="2"/>
  <c r="F25" i="13"/>
  <c r="F28" i="13"/>
  <c r="M9" i="13"/>
  <c r="M10" i="13"/>
  <c r="M11" i="13"/>
  <c r="M12" i="13"/>
  <c r="M13" i="13"/>
  <c r="M14" i="13"/>
  <c r="M15" i="13"/>
  <c r="M16" i="13"/>
  <c r="M17" i="13"/>
  <c r="M8" i="13"/>
  <c r="L9" i="13"/>
  <c r="L10" i="13"/>
  <c r="L11" i="13"/>
  <c r="L12" i="13"/>
  <c r="L13" i="13"/>
  <c r="L14" i="13"/>
  <c r="L15" i="13"/>
  <c r="L16" i="13"/>
  <c r="L17" i="13"/>
  <c r="L8" i="13"/>
  <c r="E7" i="13"/>
  <c r="J26" i="6"/>
  <c r="L26" i="6"/>
  <c r="M26" i="6"/>
  <c r="C23" i="8"/>
  <c r="E7" i="19"/>
  <c r="M61" i="11"/>
  <c r="M62" i="11"/>
  <c r="M63" i="11"/>
  <c r="M64" i="11"/>
  <c r="M65" i="11"/>
  <c r="M66" i="11"/>
  <c r="M67" i="11"/>
  <c r="M68" i="11"/>
  <c r="M69" i="11"/>
  <c r="M70" i="11"/>
  <c r="M71" i="11"/>
  <c r="M72" i="11"/>
  <c r="M73" i="11"/>
  <c r="M74" i="11"/>
  <c r="M75" i="11"/>
  <c r="M76" i="11"/>
  <c r="M60" i="11"/>
  <c r="E49" i="9"/>
  <c r="L44" i="5"/>
  <c r="L45" i="5"/>
  <c r="L46" i="5"/>
  <c r="L47" i="5"/>
  <c r="L43" i="5"/>
  <c r="P25" i="4"/>
  <c r="O14" i="18"/>
  <c r="O15" i="18"/>
  <c r="O16" i="18"/>
  <c r="O17" i="18"/>
  <c r="O13" i="18"/>
  <c r="O8" i="18"/>
  <c r="O9" i="18"/>
  <c r="O10" i="18"/>
  <c r="O11" i="18"/>
  <c r="M13" i="18"/>
  <c r="O7" i="18"/>
  <c r="M14" i="18"/>
  <c r="M15" i="18"/>
  <c r="M16" i="18"/>
  <c r="M17" i="18"/>
  <c r="M8" i="18"/>
  <c r="M9" i="18"/>
  <c r="M10" i="18"/>
  <c r="M11" i="18"/>
  <c r="M7" i="18"/>
  <c r="K14" i="18"/>
  <c r="K15" i="18"/>
  <c r="K16" i="18"/>
  <c r="K17" i="18"/>
  <c r="K13" i="18"/>
  <c r="K8" i="18"/>
  <c r="K9" i="18"/>
  <c r="K10" i="18"/>
  <c r="K11" i="18"/>
  <c r="K7" i="18"/>
  <c r="I14" i="18"/>
  <c r="I15" i="18"/>
  <c r="I16" i="18"/>
  <c r="I17" i="18"/>
  <c r="I13" i="18"/>
  <c r="I8" i="18"/>
  <c r="I9" i="18"/>
  <c r="I10" i="18"/>
  <c r="I11" i="18"/>
  <c r="I7" i="18"/>
  <c r="G14" i="18"/>
  <c r="G15" i="18"/>
  <c r="G16" i="18"/>
  <c r="G17" i="18"/>
  <c r="G13" i="18"/>
  <c r="G8" i="18"/>
  <c r="G9" i="18"/>
  <c r="G10" i="18"/>
  <c r="G11" i="18"/>
  <c r="G7" i="18"/>
  <c r="E14" i="18"/>
  <c r="E15" i="18"/>
  <c r="E16" i="18"/>
  <c r="E17" i="18"/>
  <c r="E13" i="18"/>
  <c r="E8" i="18"/>
  <c r="E9" i="18"/>
  <c r="E10" i="18"/>
  <c r="E11" i="18"/>
  <c r="E7" i="18"/>
  <c r="O85" i="11" l="1"/>
  <c r="P85" i="11" s="1"/>
  <c r="Q85" i="11" s="1"/>
  <c r="R85" i="11" s="1"/>
  <c r="S85" i="11" s="1"/>
  <c r="T85" i="11" s="1"/>
  <c r="U85" i="11" s="1"/>
  <c r="V85" i="11" s="1"/>
  <c r="W85" i="11" s="1"/>
  <c r="X85" i="11" s="1"/>
  <c r="Y85" i="11" s="1"/>
  <c r="Z85" i="11" s="1"/>
  <c r="K64" i="18"/>
  <c r="K59" i="18"/>
  <c r="I64" i="18"/>
  <c r="I59" i="18"/>
  <c r="G64" i="18"/>
  <c r="G58" i="18"/>
  <c r="E64" i="18"/>
  <c r="E59" i="18"/>
  <c r="C14" i="18"/>
  <c r="C15" i="18"/>
  <c r="C65" i="18" s="1"/>
  <c r="C16" i="18"/>
  <c r="C17" i="18"/>
  <c r="C67" i="18" s="1"/>
  <c r="C13" i="18"/>
  <c r="C7" i="18"/>
  <c r="C8" i="18"/>
  <c r="C9" i="18"/>
  <c r="C10" i="18"/>
  <c r="C11" i="18"/>
  <c r="C226" i="21"/>
  <c r="N213" i="21"/>
  <c r="C210" i="21"/>
  <c r="C15" i="8"/>
  <c r="AC30" i="17"/>
  <c r="AE124" i="13"/>
  <c r="AE116" i="13"/>
  <c r="AE114" i="13"/>
  <c r="AN42" i="13"/>
  <c r="AO42" i="13"/>
  <c r="AO43" i="13"/>
  <c r="AP43" i="13"/>
  <c r="AQ43" i="13"/>
  <c r="AR43" i="13"/>
  <c r="AS43" i="13"/>
  <c r="AT43" i="13"/>
  <c r="AV43" i="13"/>
  <c r="AM44" i="13"/>
  <c r="AN44" i="13"/>
  <c r="AO44" i="13"/>
  <c r="AM46" i="13"/>
  <c r="AN46" i="13"/>
  <c r="AM48" i="13"/>
  <c r="AN48" i="13"/>
  <c r="AO48" i="13"/>
  <c r="AP48" i="13"/>
  <c r="AN41" i="13"/>
  <c r="AO41" i="13"/>
  <c r="AM41" i="13"/>
  <c r="D42" i="13"/>
  <c r="D43" i="13"/>
  <c r="D44" i="13"/>
  <c r="D45" i="13"/>
  <c r="D46" i="13"/>
  <c r="D47" i="13"/>
  <c r="D48" i="13"/>
  <c r="D49" i="13"/>
  <c r="D50" i="13"/>
  <c r="D51" i="13"/>
  <c r="D41" i="13"/>
  <c r="O48" i="13"/>
  <c r="D21" i="14"/>
  <c r="F114" i="13"/>
  <c r="F116" i="13"/>
  <c r="F123" i="13"/>
  <c r="E123" i="13"/>
  <c r="E116" i="13"/>
  <c r="E114" i="13"/>
  <c r="E110" i="13"/>
  <c r="F110" i="13" s="1"/>
  <c r="E109" i="13"/>
  <c r="F109" i="13" s="1"/>
  <c r="U43" i="13"/>
  <c r="D15" i="14"/>
  <c r="D8" i="14"/>
  <c r="O9" i="13"/>
  <c r="O10" i="13"/>
  <c r="O11" i="13"/>
  <c r="O12" i="13"/>
  <c r="D11" i="14" s="1"/>
  <c r="O13" i="13"/>
  <c r="O14" i="13"/>
  <c r="O15" i="13"/>
  <c r="O16" i="13"/>
  <c r="O17" i="13"/>
  <c r="O8" i="13"/>
  <c r="E95" i="2"/>
  <c r="D78" i="2"/>
  <c r="D77" i="2"/>
  <c r="P5" i="4"/>
  <c r="P10" i="4"/>
  <c r="P12" i="4"/>
  <c r="P24" i="4"/>
  <c r="E50" i="10"/>
  <c r="I59" i="9"/>
  <c r="F11" i="9"/>
  <c r="F12" i="9"/>
  <c r="F10" i="9"/>
  <c r="C112" i="7"/>
  <c r="C135" i="7"/>
  <c r="E91" i="7"/>
  <c r="C28" i="7"/>
  <c r="B58" i="18"/>
  <c r="B59" i="18"/>
  <c r="B60" i="18"/>
  <c r="B61" i="18"/>
  <c r="B62" i="18"/>
  <c r="B63" i="18"/>
  <c r="B64" i="18"/>
  <c r="B65" i="18"/>
  <c r="B66" i="18"/>
  <c r="B67" i="18"/>
  <c r="B57" i="18"/>
  <c r="K57" i="18"/>
  <c r="K58" i="18"/>
  <c r="K60" i="18"/>
  <c r="K61" i="18"/>
  <c r="K63" i="18"/>
  <c r="K65" i="18"/>
  <c r="K66" i="18"/>
  <c r="K67" i="18"/>
  <c r="K62" i="18"/>
  <c r="I63" i="18"/>
  <c r="I65" i="18"/>
  <c r="I66" i="18"/>
  <c r="I67" i="18"/>
  <c r="I57" i="18"/>
  <c r="I58" i="18"/>
  <c r="I60" i="18"/>
  <c r="I61" i="18"/>
  <c r="I62" i="18"/>
  <c r="G63" i="18"/>
  <c r="G65" i="18"/>
  <c r="G66" i="18"/>
  <c r="G67" i="18"/>
  <c r="G57" i="18"/>
  <c r="G59" i="18"/>
  <c r="G60" i="18"/>
  <c r="G61" i="18"/>
  <c r="G62" i="18"/>
  <c r="E63" i="18"/>
  <c r="E65" i="18"/>
  <c r="E66" i="18"/>
  <c r="E67" i="18"/>
  <c r="E57" i="18"/>
  <c r="E58" i="18"/>
  <c r="E60" i="18"/>
  <c r="E61" i="18"/>
  <c r="E62" i="18"/>
  <c r="C63" i="18"/>
  <c r="C64" i="18"/>
  <c r="C66" i="18"/>
  <c r="C57" i="18"/>
  <c r="C58" i="18"/>
  <c r="C59" i="18"/>
  <c r="C60" i="18"/>
  <c r="C61" i="18"/>
  <c r="C62" i="18"/>
  <c r="A198" i="11"/>
  <c r="A192" i="11"/>
  <c r="A193" i="11"/>
  <c r="A194" i="11"/>
  <c r="A195" i="11"/>
  <c r="A196" i="11"/>
  <c r="A191" i="11"/>
  <c r="A180" i="11"/>
  <c r="A181" i="11"/>
  <c r="A182" i="11"/>
  <c r="A183" i="11"/>
  <c r="A184" i="11"/>
  <c r="A185" i="11"/>
  <c r="A187" i="11"/>
  <c r="A179" i="11"/>
  <c r="A108" i="11"/>
  <c r="B108" i="11"/>
  <c r="C108" i="11"/>
  <c r="D108" i="11"/>
  <c r="E108" i="11"/>
  <c r="F108" i="11"/>
  <c r="G108" i="11"/>
  <c r="H108" i="11"/>
  <c r="I108" i="11"/>
  <c r="J108" i="11"/>
  <c r="K108" i="11"/>
  <c r="L108" i="11"/>
  <c r="A109" i="11"/>
  <c r="B109" i="11"/>
  <c r="C109" i="11"/>
  <c r="D109" i="11"/>
  <c r="E109" i="11"/>
  <c r="F109" i="11"/>
  <c r="G109" i="11"/>
  <c r="H109" i="11"/>
  <c r="I109" i="11"/>
  <c r="J109" i="11"/>
  <c r="K109" i="11"/>
  <c r="L109" i="11"/>
  <c r="A110" i="11"/>
  <c r="B110" i="11"/>
  <c r="C110" i="11"/>
  <c r="D110" i="11"/>
  <c r="E110" i="11"/>
  <c r="F110" i="11"/>
  <c r="G110" i="11"/>
  <c r="H110" i="11"/>
  <c r="I110" i="11"/>
  <c r="J110" i="11"/>
  <c r="K110" i="11"/>
  <c r="L110" i="11"/>
  <c r="A111" i="11"/>
  <c r="B111" i="11"/>
  <c r="C111" i="11"/>
  <c r="D111" i="11"/>
  <c r="E111" i="11"/>
  <c r="F111" i="11"/>
  <c r="G111" i="11"/>
  <c r="H111" i="11"/>
  <c r="I111" i="11"/>
  <c r="J111" i="11"/>
  <c r="K111" i="11"/>
  <c r="L111" i="11"/>
  <c r="A112" i="11"/>
  <c r="B112" i="11"/>
  <c r="C112" i="11"/>
  <c r="D112" i="11"/>
  <c r="E112" i="11"/>
  <c r="F112" i="11"/>
  <c r="G112" i="11"/>
  <c r="H112" i="11"/>
  <c r="I112" i="11"/>
  <c r="J112" i="11"/>
  <c r="K112" i="11"/>
  <c r="L112" i="11"/>
  <c r="A113" i="11"/>
  <c r="B113" i="11"/>
  <c r="C113" i="11"/>
  <c r="D113" i="11"/>
  <c r="E113" i="11"/>
  <c r="F113" i="11"/>
  <c r="G113" i="11"/>
  <c r="H113" i="11"/>
  <c r="I113" i="11"/>
  <c r="J113" i="11"/>
  <c r="K113" i="11"/>
  <c r="L113" i="11"/>
  <c r="A114" i="11"/>
  <c r="B114" i="11"/>
  <c r="C114" i="11"/>
  <c r="D114" i="11"/>
  <c r="E114" i="11"/>
  <c r="F114" i="11"/>
  <c r="G114" i="11"/>
  <c r="H114" i="11"/>
  <c r="I114" i="11"/>
  <c r="J114" i="11"/>
  <c r="K114" i="11"/>
  <c r="L114" i="11"/>
  <c r="A115" i="11"/>
  <c r="B115" i="11"/>
  <c r="C115" i="11"/>
  <c r="D115" i="11"/>
  <c r="E115" i="11"/>
  <c r="F115" i="11"/>
  <c r="G115" i="11"/>
  <c r="H115" i="11"/>
  <c r="I115" i="11"/>
  <c r="J115" i="11"/>
  <c r="K115" i="11"/>
  <c r="L115" i="11"/>
  <c r="A116" i="11"/>
  <c r="B116" i="11"/>
  <c r="C116" i="11"/>
  <c r="D116" i="11"/>
  <c r="E116" i="11"/>
  <c r="F116" i="11"/>
  <c r="G116" i="11"/>
  <c r="H116" i="11"/>
  <c r="I116" i="11"/>
  <c r="J116" i="11"/>
  <c r="K116" i="11"/>
  <c r="L116" i="11"/>
  <c r="A117" i="11"/>
  <c r="B117" i="11"/>
  <c r="C117" i="11"/>
  <c r="D117" i="11"/>
  <c r="E117" i="11"/>
  <c r="F117" i="11"/>
  <c r="G117" i="11"/>
  <c r="H117" i="11"/>
  <c r="I117" i="11"/>
  <c r="J117" i="11"/>
  <c r="K117" i="11"/>
  <c r="L117" i="11"/>
  <c r="A118" i="11"/>
  <c r="B118" i="11"/>
  <c r="C118" i="11"/>
  <c r="D118" i="11"/>
  <c r="E118" i="11"/>
  <c r="F118" i="11"/>
  <c r="G118" i="11"/>
  <c r="H118" i="11"/>
  <c r="I118" i="11"/>
  <c r="J118" i="11"/>
  <c r="K118" i="11"/>
  <c r="L118" i="11"/>
  <c r="A119" i="11"/>
  <c r="B119" i="11"/>
  <c r="C119" i="11"/>
  <c r="D119" i="11"/>
  <c r="E119" i="11"/>
  <c r="F119" i="11"/>
  <c r="G119" i="11"/>
  <c r="H119" i="11"/>
  <c r="I119" i="11"/>
  <c r="J119" i="11"/>
  <c r="K119" i="11"/>
  <c r="L119" i="11"/>
  <c r="A120" i="11"/>
  <c r="B120" i="11"/>
  <c r="C120" i="11"/>
  <c r="D120" i="11"/>
  <c r="E120" i="11"/>
  <c r="F120" i="11"/>
  <c r="G120" i="11"/>
  <c r="H120" i="11"/>
  <c r="I120" i="11"/>
  <c r="J120" i="11"/>
  <c r="K120" i="11"/>
  <c r="L120" i="11"/>
  <c r="A121" i="11"/>
  <c r="B121" i="11"/>
  <c r="C121" i="11"/>
  <c r="D121" i="11"/>
  <c r="E121" i="11"/>
  <c r="F121" i="11"/>
  <c r="G121" i="11"/>
  <c r="H121" i="11"/>
  <c r="I121" i="11"/>
  <c r="J121" i="11"/>
  <c r="K121" i="11"/>
  <c r="L121" i="11"/>
  <c r="A122" i="11"/>
  <c r="B122" i="11"/>
  <c r="C122" i="11"/>
  <c r="D122" i="11"/>
  <c r="E122" i="11"/>
  <c r="F122" i="11"/>
  <c r="G122" i="11"/>
  <c r="H122" i="11"/>
  <c r="I122" i="11"/>
  <c r="J122" i="11"/>
  <c r="K122" i="11"/>
  <c r="L122" i="11"/>
  <c r="A123" i="11"/>
  <c r="B123" i="11"/>
  <c r="C123" i="11"/>
  <c r="D123" i="11"/>
  <c r="E123" i="11"/>
  <c r="F123" i="11"/>
  <c r="G123" i="11"/>
  <c r="H123" i="11"/>
  <c r="I123" i="11"/>
  <c r="J123" i="11"/>
  <c r="K123" i="11"/>
  <c r="L123" i="11"/>
  <c r="A124" i="11"/>
  <c r="B124" i="11"/>
  <c r="C124" i="11"/>
  <c r="D124" i="11"/>
  <c r="E124" i="11"/>
  <c r="F124" i="11"/>
  <c r="G124" i="11"/>
  <c r="H124" i="11"/>
  <c r="I124" i="11"/>
  <c r="J124" i="11"/>
  <c r="K124" i="11"/>
  <c r="L124" i="11"/>
  <c r="A125" i="11"/>
  <c r="B125" i="11"/>
  <c r="C125" i="11"/>
  <c r="D125" i="11"/>
  <c r="E125" i="11"/>
  <c r="F125" i="11"/>
  <c r="G125" i="11"/>
  <c r="H125" i="11"/>
  <c r="I125" i="11"/>
  <c r="J125" i="11"/>
  <c r="K125" i="11"/>
  <c r="L125" i="11"/>
  <c r="A126" i="11"/>
  <c r="B126" i="11"/>
  <c r="C126" i="11"/>
  <c r="D126" i="11"/>
  <c r="E126" i="11"/>
  <c r="F126" i="11"/>
  <c r="G126" i="11"/>
  <c r="H126" i="11"/>
  <c r="I126" i="11"/>
  <c r="J126" i="11"/>
  <c r="K126" i="11"/>
  <c r="L126" i="11"/>
  <c r="A127" i="11"/>
  <c r="B127" i="11"/>
  <c r="C127" i="11"/>
  <c r="D127" i="11"/>
  <c r="E127" i="11"/>
  <c r="F127" i="11"/>
  <c r="G127" i="11"/>
  <c r="H127" i="11"/>
  <c r="I127" i="11"/>
  <c r="J127" i="11"/>
  <c r="K127" i="11"/>
  <c r="L127" i="11"/>
  <c r="A128" i="11"/>
  <c r="B128" i="11"/>
  <c r="C128" i="11"/>
  <c r="D128" i="11"/>
  <c r="E128" i="11"/>
  <c r="F128" i="11"/>
  <c r="G128" i="11"/>
  <c r="H128" i="11"/>
  <c r="I128" i="11"/>
  <c r="J128" i="11"/>
  <c r="K128" i="11"/>
  <c r="L128" i="11"/>
  <c r="A129" i="11"/>
  <c r="B129" i="11"/>
  <c r="C129" i="11"/>
  <c r="D129" i="11"/>
  <c r="E129" i="11"/>
  <c r="F129" i="11"/>
  <c r="G129" i="11"/>
  <c r="H129" i="11"/>
  <c r="I129" i="11"/>
  <c r="J129" i="11"/>
  <c r="K129" i="11"/>
  <c r="L129" i="11"/>
  <c r="A130" i="11"/>
  <c r="B130" i="11"/>
  <c r="C130" i="11"/>
  <c r="D130" i="11"/>
  <c r="E130" i="11"/>
  <c r="F130" i="11"/>
  <c r="G130" i="11"/>
  <c r="H130" i="11"/>
  <c r="I130" i="11"/>
  <c r="J130" i="11"/>
  <c r="K130" i="11"/>
  <c r="L130" i="11"/>
  <c r="A131" i="11"/>
  <c r="B131" i="11"/>
  <c r="C131" i="11"/>
  <c r="D131" i="11"/>
  <c r="E131" i="11"/>
  <c r="F131" i="11"/>
  <c r="G131" i="11"/>
  <c r="H131" i="11"/>
  <c r="I131" i="11"/>
  <c r="J131" i="11"/>
  <c r="K131" i="11"/>
  <c r="L131" i="11"/>
  <c r="A132" i="11"/>
  <c r="B132" i="11"/>
  <c r="C132" i="11"/>
  <c r="D132" i="11"/>
  <c r="E132" i="11"/>
  <c r="F132" i="11"/>
  <c r="G132" i="11"/>
  <c r="H132" i="11"/>
  <c r="I132" i="11"/>
  <c r="J132" i="11"/>
  <c r="K132" i="11"/>
  <c r="L132" i="11"/>
  <c r="A133" i="11"/>
  <c r="B133" i="11"/>
  <c r="C133" i="11"/>
  <c r="D133" i="11"/>
  <c r="E133" i="11"/>
  <c r="F133" i="11"/>
  <c r="G133" i="11"/>
  <c r="H133" i="11"/>
  <c r="I133" i="11"/>
  <c r="J133" i="11"/>
  <c r="K133" i="11"/>
  <c r="L133" i="11"/>
  <c r="A134" i="11"/>
  <c r="B134" i="11"/>
  <c r="C134" i="11"/>
  <c r="D134" i="11"/>
  <c r="E134" i="11"/>
  <c r="F134" i="11"/>
  <c r="G134" i="11"/>
  <c r="H134" i="11"/>
  <c r="I134" i="11"/>
  <c r="J134" i="11"/>
  <c r="K134" i="11"/>
  <c r="L134" i="11"/>
  <c r="A135" i="11"/>
  <c r="B135" i="11"/>
  <c r="C135" i="11"/>
  <c r="D135" i="11"/>
  <c r="E135" i="11"/>
  <c r="F135" i="11"/>
  <c r="G135" i="11"/>
  <c r="H135" i="11"/>
  <c r="I135" i="11"/>
  <c r="J135" i="11"/>
  <c r="K135" i="11"/>
  <c r="L135" i="11"/>
  <c r="A136" i="11"/>
  <c r="B136" i="11"/>
  <c r="C136" i="11"/>
  <c r="D136" i="11"/>
  <c r="E136" i="11"/>
  <c r="F136" i="11"/>
  <c r="G136" i="11"/>
  <c r="H136" i="11"/>
  <c r="I136" i="11"/>
  <c r="J136" i="11"/>
  <c r="K136" i="11"/>
  <c r="L136" i="11"/>
  <c r="A137" i="11"/>
  <c r="B137" i="11"/>
  <c r="C137" i="11"/>
  <c r="D137" i="11"/>
  <c r="E137" i="11"/>
  <c r="F137" i="11"/>
  <c r="G137" i="11"/>
  <c r="H137" i="11"/>
  <c r="I137" i="11"/>
  <c r="J137" i="11"/>
  <c r="K137" i="11"/>
  <c r="L137" i="11"/>
  <c r="A138" i="11"/>
  <c r="B138" i="11"/>
  <c r="C138" i="11"/>
  <c r="D138" i="11"/>
  <c r="E138" i="11"/>
  <c r="F138" i="11"/>
  <c r="G138" i="11"/>
  <c r="H138" i="11"/>
  <c r="I138" i="11"/>
  <c r="J138" i="11"/>
  <c r="K138" i="11"/>
  <c r="L138" i="11"/>
  <c r="A139" i="11"/>
  <c r="B139" i="11"/>
  <c r="C139" i="11"/>
  <c r="D139" i="11"/>
  <c r="E139" i="11"/>
  <c r="F139" i="11"/>
  <c r="G139" i="11"/>
  <c r="H139" i="11"/>
  <c r="I139" i="11"/>
  <c r="J139" i="11"/>
  <c r="K139" i="11"/>
  <c r="L139" i="11"/>
  <c r="A140" i="11"/>
  <c r="B140" i="11"/>
  <c r="C140" i="11"/>
  <c r="D140" i="11"/>
  <c r="E140" i="11"/>
  <c r="F140" i="11"/>
  <c r="G140" i="11"/>
  <c r="H140" i="11"/>
  <c r="I140" i="11"/>
  <c r="J140" i="11"/>
  <c r="K140" i="11"/>
  <c r="L140" i="11"/>
  <c r="A141" i="11"/>
  <c r="B141" i="11"/>
  <c r="C141" i="11"/>
  <c r="D141" i="11"/>
  <c r="E141" i="11"/>
  <c r="F141" i="11"/>
  <c r="G141" i="11"/>
  <c r="H141" i="11"/>
  <c r="I141" i="11"/>
  <c r="J141" i="11"/>
  <c r="K141" i="11"/>
  <c r="L141" i="11"/>
  <c r="A142" i="11"/>
  <c r="B142" i="11"/>
  <c r="C142" i="11"/>
  <c r="D142" i="11"/>
  <c r="E142" i="11"/>
  <c r="F142" i="11"/>
  <c r="G142" i="11"/>
  <c r="H142" i="11"/>
  <c r="I142" i="11"/>
  <c r="J142" i="11"/>
  <c r="K142" i="11"/>
  <c r="L142" i="11"/>
  <c r="A143" i="11"/>
  <c r="B143" i="11"/>
  <c r="C143" i="11"/>
  <c r="D143" i="11"/>
  <c r="E143" i="11"/>
  <c r="F143" i="11"/>
  <c r="G143" i="11"/>
  <c r="H143" i="11"/>
  <c r="I143" i="11"/>
  <c r="J143" i="11"/>
  <c r="K143" i="11"/>
  <c r="L143" i="11"/>
  <c r="A144" i="11"/>
  <c r="B144" i="11"/>
  <c r="C144" i="11"/>
  <c r="D144" i="11"/>
  <c r="E144" i="11"/>
  <c r="F144" i="11"/>
  <c r="G144" i="11"/>
  <c r="H144" i="11"/>
  <c r="I144" i="11"/>
  <c r="J144" i="11"/>
  <c r="K144" i="11"/>
  <c r="L144" i="11"/>
  <c r="A145" i="11"/>
  <c r="B145" i="11"/>
  <c r="C145" i="11"/>
  <c r="D145" i="11"/>
  <c r="E145" i="11"/>
  <c r="F145" i="11"/>
  <c r="G145" i="11"/>
  <c r="H145" i="11"/>
  <c r="I145" i="11"/>
  <c r="J145" i="11"/>
  <c r="K145" i="11"/>
  <c r="L145" i="11"/>
  <c r="A146" i="11"/>
  <c r="B146" i="11"/>
  <c r="C146" i="11"/>
  <c r="D146" i="11"/>
  <c r="E146" i="11"/>
  <c r="F146" i="11"/>
  <c r="G146" i="11"/>
  <c r="H146" i="11"/>
  <c r="I146" i="11"/>
  <c r="J146" i="11"/>
  <c r="K146" i="11"/>
  <c r="L146" i="11"/>
  <c r="A147" i="11"/>
  <c r="B147" i="11"/>
  <c r="C147" i="11"/>
  <c r="D147" i="11"/>
  <c r="E147" i="11"/>
  <c r="F147" i="11"/>
  <c r="G147" i="11"/>
  <c r="H147" i="11"/>
  <c r="I147" i="11"/>
  <c r="J147" i="11"/>
  <c r="K147" i="11"/>
  <c r="L147" i="11"/>
  <c r="A148" i="11"/>
  <c r="B148" i="11"/>
  <c r="C148" i="11"/>
  <c r="D148" i="11"/>
  <c r="E148" i="11"/>
  <c r="F148" i="11"/>
  <c r="G148" i="11"/>
  <c r="H148" i="11"/>
  <c r="I148" i="11"/>
  <c r="J148" i="11"/>
  <c r="K148" i="11"/>
  <c r="L148" i="11"/>
  <c r="A149" i="11"/>
  <c r="B149" i="11"/>
  <c r="C149" i="11"/>
  <c r="D149" i="11"/>
  <c r="E149" i="11"/>
  <c r="F149" i="11"/>
  <c r="G149" i="11"/>
  <c r="H149" i="11"/>
  <c r="I149" i="11"/>
  <c r="J149" i="11"/>
  <c r="K149" i="11"/>
  <c r="L149" i="11"/>
  <c r="A150" i="11"/>
  <c r="B150" i="11"/>
  <c r="C150" i="11"/>
  <c r="D150" i="11"/>
  <c r="E150" i="11"/>
  <c r="F150" i="11"/>
  <c r="G150" i="11"/>
  <c r="H150" i="11"/>
  <c r="I150" i="11"/>
  <c r="J150" i="11"/>
  <c r="K150" i="11"/>
  <c r="L150" i="11"/>
  <c r="A151" i="11"/>
  <c r="B151" i="11"/>
  <c r="C151" i="11"/>
  <c r="D151" i="11"/>
  <c r="E151" i="11"/>
  <c r="F151" i="11"/>
  <c r="G151" i="11"/>
  <c r="H151" i="11"/>
  <c r="I151" i="11"/>
  <c r="J151" i="11"/>
  <c r="K151" i="11"/>
  <c r="L151" i="11"/>
  <c r="A152" i="11"/>
  <c r="B152" i="11"/>
  <c r="C152" i="11"/>
  <c r="D152" i="11"/>
  <c r="E152" i="11"/>
  <c r="F152" i="11"/>
  <c r="G152" i="11"/>
  <c r="H152" i="11"/>
  <c r="I152" i="11"/>
  <c r="J152" i="11"/>
  <c r="K152" i="11"/>
  <c r="L152" i="11"/>
  <c r="A153" i="11"/>
  <c r="B153" i="11"/>
  <c r="C153" i="11"/>
  <c r="D153" i="11"/>
  <c r="E153" i="11"/>
  <c r="F153" i="11"/>
  <c r="G153" i="11"/>
  <c r="H153" i="11"/>
  <c r="I153" i="11"/>
  <c r="J153" i="11"/>
  <c r="K153" i="11"/>
  <c r="L153" i="11"/>
  <c r="A154" i="11"/>
  <c r="B154" i="11"/>
  <c r="C154" i="11"/>
  <c r="D154" i="11"/>
  <c r="E154" i="11"/>
  <c r="F154" i="11"/>
  <c r="G154" i="11"/>
  <c r="H154" i="11"/>
  <c r="I154" i="11"/>
  <c r="J154" i="11"/>
  <c r="K154" i="11"/>
  <c r="L154" i="11"/>
  <c r="A155" i="11"/>
  <c r="B155" i="11"/>
  <c r="C155" i="11"/>
  <c r="D155" i="11"/>
  <c r="E155" i="11"/>
  <c r="F155" i="11"/>
  <c r="G155" i="11"/>
  <c r="H155" i="11"/>
  <c r="I155" i="11"/>
  <c r="J155" i="11"/>
  <c r="K155" i="11"/>
  <c r="L155" i="11"/>
  <c r="A156" i="11"/>
  <c r="B156" i="11"/>
  <c r="C156" i="11"/>
  <c r="D156" i="11"/>
  <c r="E156" i="11"/>
  <c r="F156" i="11"/>
  <c r="G156" i="11"/>
  <c r="H156" i="11"/>
  <c r="I156" i="11"/>
  <c r="J156" i="11"/>
  <c r="K156" i="11"/>
  <c r="L156" i="11"/>
  <c r="A157" i="11"/>
  <c r="B157" i="11"/>
  <c r="C157" i="11"/>
  <c r="D157" i="11"/>
  <c r="E157" i="11"/>
  <c r="F157" i="11"/>
  <c r="G157" i="11"/>
  <c r="H157" i="11"/>
  <c r="I157" i="11"/>
  <c r="J157" i="11"/>
  <c r="K157" i="11"/>
  <c r="L157" i="11"/>
  <c r="A158" i="11"/>
  <c r="B158" i="11"/>
  <c r="C158" i="11"/>
  <c r="D158" i="11"/>
  <c r="E158" i="11"/>
  <c r="F158" i="11"/>
  <c r="G158" i="11"/>
  <c r="H158" i="11"/>
  <c r="I158" i="11"/>
  <c r="J158" i="11"/>
  <c r="K158" i="11"/>
  <c r="L158" i="11"/>
  <c r="A159" i="11"/>
  <c r="B159" i="11"/>
  <c r="C159" i="11"/>
  <c r="D159" i="11"/>
  <c r="E159" i="11"/>
  <c r="F159" i="11"/>
  <c r="G159" i="11"/>
  <c r="H159" i="11"/>
  <c r="I159" i="11"/>
  <c r="J159" i="11"/>
  <c r="K159" i="11"/>
  <c r="L159" i="11"/>
  <c r="A160" i="11"/>
  <c r="B160" i="11"/>
  <c r="C160" i="11"/>
  <c r="D160" i="11"/>
  <c r="E160" i="11"/>
  <c r="F160" i="11"/>
  <c r="G160" i="11"/>
  <c r="H160" i="11"/>
  <c r="I160" i="11"/>
  <c r="J160" i="11"/>
  <c r="K160" i="11"/>
  <c r="L160" i="11"/>
  <c r="A161" i="11"/>
  <c r="B161" i="11"/>
  <c r="C161" i="11"/>
  <c r="D161" i="11"/>
  <c r="E161" i="11"/>
  <c r="F161" i="11"/>
  <c r="G161" i="11"/>
  <c r="H161" i="11"/>
  <c r="I161" i="11"/>
  <c r="J161" i="11"/>
  <c r="K161" i="11"/>
  <c r="L161" i="11"/>
  <c r="M161" i="11"/>
  <c r="A162" i="11"/>
  <c r="B162" i="11"/>
  <c r="C162" i="11"/>
  <c r="D162" i="11"/>
  <c r="E162" i="11"/>
  <c r="F162" i="11"/>
  <c r="G162" i="11"/>
  <c r="H162" i="11"/>
  <c r="I162" i="11"/>
  <c r="J162" i="11"/>
  <c r="K162" i="11"/>
  <c r="L162" i="11"/>
  <c r="M162" i="11"/>
  <c r="A163" i="11"/>
  <c r="B163" i="11"/>
  <c r="C163" i="11"/>
  <c r="D163" i="11"/>
  <c r="E163" i="11"/>
  <c r="F163" i="11"/>
  <c r="G163" i="11"/>
  <c r="H163" i="11"/>
  <c r="I163" i="11"/>
  <c r="J163" i="11"/>
  <c r="K163" i="11"/>
  <c r="L163" i="11"/>
  <c r="M163" i="11"/>
  <c r="A164" i="11"/>
  <c r="B164" i="11"/>
  <c r="C164" i="11"/>
  <c r="D164" i="11"/>
  <c r="E164" i="11"/>
  <c r="F164" i="11"/>
  <c r="G164" i="11"/>
  <c r="H164" i="11"/>
  <c r="I164" i="11"/>
  <c r="J164" i="11"/>
  <c r="K164" i="11"/>
  <c r="L164" i="11"/>
  <c r="M164" i="11"/>
  <c r="A165" i="11"/>
  <c r="B165" i="11"/>
  <c r="C165" i="11"/>
  <c r="D165" i="11"/>
  <c r="E165" i="11"/>
  <c r="F165" i="11"/>
  <c r="G165" i="11"/>
  <c r="H165" i="11"/>
  <c r="I165" i="11"/>
  <c r="J165" i="11"/>
  <c r="K165" i="11"/>
  <c r="L165" i="11"/>
  <c r="M165" i="11"/>
  <c r="A166" i="11"/>
  <c r="B166" i="11"/>
  <c r="C166" i="11"/>
  <c r="D166" i="11"/>
  <c r="E166" i="11"/>
  <c r="F166" i="11"/>
  <c r="G166" i="11"/>
  <c r="H166" i="11"/>
  <c r="I166" i="11"/>
  <c r="J166" i="11"/>
  <c r="K166" i="11"/>
  <c r="L166" i="11"/>
  <c r="M166" i="11"/>
  <c r="A167" i="11"/>
  <c r="B167" i="11"/>
  <c r="C167" i="11"/>
  <c r="D167" i="11"/>
  <c r="E167" i="11"/>
  <c r="F167" i="11"/>
  <c r="G167" i="11"/>
  <c r="H167" i="11"/>
  <c r="I167" i="11"/>
  <c r="J167" i="11"/>
  <c r="K167" i="11"/>
  <c r="L167" i="11"/>
  <c r="M167" i="11"/>
  <c r="A168" i="11"/>
  <c r="B168" i="11"/>
  <c r="C168" i="11"/>
  <c r="D168" i="11"/>
  <c r="E168" i="11"/>
  <c r="F168" i="11"/>
  <c r="G168" i="11"/>
  <c r="H168" i="11"/>
  <c r="I168" i="11"/>
  <c r="J168" i="11"/>
  <c r="K168" i="11"/>
  <c r="L168" i="11"/>
  <c r="M168" i="11"/>
  <c r="A169" i="11"/>
  <c r="B169" i="11"/>
  <c r="C169" i="11"/>
  <c r="D169" i="11"/>
  <c r="E169" i="11"/>
  <c r="F169" i="11"/>
  <c r="G169" i="11"/>
  <c r="H169" i="11"/>
  <c r="I169" i="11"/>
  <c r="J169" i="11"/>
  <c r="K169" i="11"/>
  <c r="L169" i="11"/>
  <c r="M169" i="11"/>
  <c r="A170" i="11"/>
  <c r="B170" i="11"/>
  <c r="C170" i="11"/>
  <c r="D170" i="11"/>
  <c r="E170" i="11"/>
  <c r="F170" i="11"/>
  <c r="G170" i="11"/>
  <c r="H170" i="11"/>
  <c r="I170" i="11"/>
  <c r="J170" i="11"/>
  <c r="K170" i="11"/>
  <c r="L170" i="11"/>
  <c r="M170" i="11"/>
  <c r="A171" i="11"/>
  <c r="B171" i="11"/>
  <c r="C171" i="11"/>
  <c r="D171" i="11"/>
  <c r="E171" i="11"/>
  <c r="F171" i="11"/>
  <c r="G171" i="11"/>
  <c r="H171" i="11"/>
  <c r="I171" i="11"/>
  <c r="J171" i="11"/>
  <c r="K171" i="11"/>
  <c r="L171" i="11"/>
  <c r="M171" i="11"/>
  <c r="A172" i="11"/>
  <c r="B172" i="11"/>
  <c r="C172" i="11"/>
  <c r="D172" i="11"/>
  <c r="E172" i="11"/>
  <c r="F172" i="11"/>
  <c r="G172" i="11"/>
  <c r="H172" i="11"/>
  <c r="I172" i="11"/>
  <c r="J172" i="11"/>
  <c r="K172" i="11"/>
  <c r="L172" i="11"/>
  <c r="M172" i="11"/>
  <c r="A173" i="11"/>
  <c r="B173" i="11"/>
  <c r="C173" i="11"/>
  <c r="D173" i="11"/>
  <c r="E173" i="11"/>
  <c r="F173" i="11"/>
  <c r="G173" i="11"/>
  <c r="H173" i="11"/>
  <c r="I173" i="11"/>
  <c r="J173" i="11"/>
  <c r="K173" i="11"/>
  <c r="L173" i="11"/>
  <c r="M173" i="11"/>
  <c r="A174" i="11"/>
  <c r="B174" i="11"/>
  <c r="C174" i="11"/>
  <c r="D174" i="11"/>
  <c r="E174" i="11"/>
  <c r="F174" i="11"/>
  <c r="G174" i="11"/>
  <c r="H174" i="11"/>
  <c r="I174" i="11"/>
  <c r="J174" i="11"/>
  <c r="K174" i="11"/>
  <c r="L174" i="11"/>
  <c r="M174" i="11"/>
  <c r="A175" i="11"/>
  <c r="B175" i="11"/>
  <c r="C175" i="11"/>
  <c r="D175" i="11"/>
  <c r="E175" i="11"/>
  <c r="F175" i="11"/>
  <c r="G175" i="11"/>
  <c r="H175" i="11"/>
  <c r="I175" i="11"/>
  <c r="J175" i="11"/>
  <c r="K175" i="11"/>
  <c r="L175" i="11"/>
  <c r="M175" i="11"/>
  <c r="A176" i="11"/>
  <c r="B176" i="11"/>
  <c r="C176" i="11"/>
  <c r="D176" i="11"/>
  <c r="E176" i="11"/>
  <c r="F176" i="11"/>
  <c r="G176" i="11"/>
  <c r="H176" i="11"/>
  <c r="I176" i="11"/>
  <c r="J176" i="11"/>
  <c r="K176" i="11"/>
  <c r="L176" i="11"/>
  <c r="M176" i="11"/>
  <c r="A177" i="11"/>
  <c r="B177" i="11"/>
  <c r="C177" i="11"/>
  <c r="D177" i="11"/>
  <c r="E177" i="11"/>
  <c r="F177" i="11"/>
  <c r="G177" i="11"/>
  <c r="H177" i="11"/>
  <c r="I177" i="11"/>
  <c r="J177" i="11"/>
  <c r="K177" i="11"/>
  <c r="L177" i="11"/>
  <c r="M177" i="11"/>
  <c r="B107" i="11"/>
  <c r="C107" i="11"/>
  <c r="D107" i="11"/>
  <c r="E107" i="11"/>
  <c r="F107" i="11"/>
  <c r="G107" i="11"/>
  <c r="H107" i="11"/>
  <c r="I107" i="11"/>
  <c r="J107" i="11"/>
  <c r="K107" i="11"/>
  <c r="L107" i="11"/>
  <c r="A107" i="11"/>
  <c r="I60" i="9"/>
  <c r="I61" i="9"/>
  <c r="I62" i="9"/>
  <c r="E191" i="7"/>
  <c r="E177" i="7"/>
  <c r="E165" i="7"/>
  <c r="E157" i="7"/>
  <c r="E145" i="7"/>
  <c r="E43" i="7"/>
  <c r="I5" i="5"/>
  <c r="C431" i="21"/>
  <c r="D11" i="19"/>
  <c r="C432" i="21" s="1"/>
  <c r="N393" i="21"/>
  <c r="I437" i="21"/>
  <c r="I438" i="21"/>
  <c r="K438" i="21"/>
  <c r="I439" i="21"/>
  <c r="I440" i="21"/>
  <c r="K440" i="21"/>
  <c r="I441" i="21"/>
  <c r="K441" i="21"/>
  <c r="I442" i="21"/>
  <c r="K436" i="21"/>
  <c r="I436" i="21"/>
  <c r="I404" i="21"/>
  <c r="I401" i="21"/>
  <c r="I402" i="21"/>
  <c r="K402" i="21"/>
  <c r="I403" i="21"/>
  <c r="K404" i="21"/>
  <c r="I405" i="21"/>
  <c r="K405" i="21"/>
  <c r="I406" i="21"/>
  <c r="K400" i="21"/>
  <c r="I400" i="21"/>
  <c r="B362" i="21"/>
  <c r="D362" i="21"/>
  <c r="D361" i="21"/>
  <c r="B361" i="21"/>
  <c r="B360" i="21"/>
  <c r="B337" i="21"/>
  <c r="D337" i="21"/>
  <c r="D336" i="21"/>
  <c r="B336" i="21"/>
  <c r="B312" i="21"/>
  <c r="D312" i="21"/>
  <c r="D311" i="21"/>
  <c r="B311" i="21"/>
  <c r="B310" i="21"/>
  <c r="B335" i="21"/>
  <c r="B285" i="21"/>
  <c r="D285" i="21"/>
  <c r="D284" i="21"/>
  <c r="B284" i="21"/>
  <c r="B283" i="21"/>
  <c r="B260" i="21"/>
  <c r="D260" i="21"/>
  <c r="D259" i="21"/>
  <c r="B259" i="21"/>
  <c r="B258" i="21"/>
  <c r="B235" i="21"/>
  <c r="D235" i="21"/>
  <c r="D234" i="21"/>
  <c r="B234" i="21"/>
  <c r="B233" i="21"/>
  <c r="B182" i="21"/>
  <c r="B183" i="21"/>
  <c r="B184" i="21"/>
  <c r="B185" i="21"/>
  <c r="B186" i="21"/>
  <c r="B187" i="21"/>
  <c r="B188" i="21"/>
  <c r="B189" i="21"/>
  <c r="C189" i="21"/>
  <c r="B191" i="21"/>
  <c r="B192" i="21"/>
  <c r="B193" i="21"/>
  <c r="B194" i="21"/>
  <c r="B195" i="21"/>
  <c r="B196" i="21"/>
  <c r="B197" i="21"/>
  <c r="B198" i="21"/>
  <c r="B199" i="21"/>
  <c r="B200" i="21"/>
  <c r="C181" i="21"/>
  <c r="D181" i="21"/>
  <c r="B181" i="21"/>
  <c r="B168" i="21"/>
  <c r="H168" i="21"/>
  <c r="B169" i="21"/>
  <c r="B170" i="21"/>
  <c r="B171" i="21"/>
  <c r="B172" i="21"/>
  <c r="B173" i="21"/>
  <c r="B174" i="21"/>
  <c r="B175" i="21"/>
  <c r="B176" i="21"/>
  <c r="B177" i="21"/>
  <c r="B178" i="21"/>
  <c r="B179" i="21"/>
  <c r="C167" i="21"/>
  <c r="D167" i="21"/>
  <c r="E167" i="21"/>
  <c r="F167" i="21"/>
  <c r="G167" i="21"/>
  <c r="H167" i="21"/>
  <c r="B167" i="21"/>
  <c r="AD119" i="13"/>
  <c r="AD108" i="13"/>
  <c r="AD109" i="13"/>
  <c r="AD110" i="13"/>
  <c r="AD111" i="13"/>
  <c r="AD112" i="13"/>
  <c r="AD113" i="13"/>
  <c r="AD114" i="13"/>
  <c r="AD116" i="13"/>
  <c r="AD117" i="13"/>
  <c r="AD118" i="13"/>
  <c r="AD120" i="13"/>
  <c r="AD121" i="13"/>
  <c r="AD122" i="13"/>
  <c r="AD123" i="13"/>
  <c r="AD124" i="13"/>
  <c r="AD125" i="13"/>
  <c r="AD107" i="13"/>
  <c r="C147" i="21"/>
  <c r="C148" i="21"/>
  <c r="C152" i="21"/>
  <c r="C154" i="21"/>
  <c r="B146" i="21"/>
  <c r="B147" i="21"/>
  <c r="B148" i="21"/>
  <c r="B149" i="21"/>
  <c r="B150" i="21"/>
  <c r="B151" i="21"/>
  <c r="B152" i="21"/>
  <c r="B154" i="21"/>
  <c r="B155" i="21"/>
  <c r="B156" i="21"/>
  <c r="B157" i="21"/>
  <c r="B158" i="21"/>
  <c r="B159" i="21"/>
  <c r="B160" i="21"/>
  <c r="B161" i="21"/>
  <c r="B162" i="21"/>
  <c r="B145" i="21"/>
  <c r="C144" i="21"/>
  <c r="D144" i="21"/>
  <c r="B144" i="21"/>
  <c r="D131" i="21"/>
  <c r="H131" i="21"/>
  <c r="D130" i="21"/>
  <c r="E130" i="21"/>
  <c r="F130" i="21"/>
  <c r="G130" i="21"/>
  <c r="H130" i="21"/>
  <c r="C130" i="21"/>
  <c r="B142" i="21"/>
  <c r="B131" i="21"/>
  <c r="B132" i="21"/>
  <c r="B133" i="21"/>
  <c r="B134" i="21"/>
  <c r="B135" i="21"/>
  <c r="B136" i="21"/>
  <c r="B137" i="21"/>
  <c r="B138" i="21"/>
  <c r="B139" i="21"/>
  <c r="B140" i="21"/>
  <c r="B141" i="21"/>
  <c r="B130" i="21"/>
  <c r="C13" i="6"/>
  <c r="I30" i="21"/>
  <c r="I29" i="21"/>
  <c r="B54" i="18"/>
  <c r="Z71" i="17"/>
  <c r="C362" i="21" s="1"/>
  <c r="Z47" i="17"/>
  <c r="C337" i="21" s="1"/>
  <c r="Z23" i="17"/>
  <c r="C312" i="21" s="1"/>
  <c r="AC68" i="17"/>
  <c r="AC67" i="17"/>
  <c r="AC66" i="17"/>
  <c r="AC65" i="17"/>
  <c r="AC64" i="17"/>
  <c r="AC63" i="17"/>
  <c r="AC62" i="17"/>
  <c r="AC61" i="17"/>
  <c r="AC60" i="17"/>
  <c r="AC59" i="17"/>
  <c r="AC58" i="17"/>
  <c r="AC57" i="17"/>
  <c r="AC56" i="17"/>
  <c r="AC55" i="17"/>
  <c r="AC54" i="17"/>
  <c r="AC53" i="17"/>
  <c r="AC44" i="17"/>
  <c r="AC43" i="17"/>
  <c r="AC42" i="17"/>
  <c r="AC41" i="17"/>
  <c r="AC40" i="17"/>
  <c r="AC39" i="17"/>
  <c r="AC38" i="17"/>
  <c r="AC37" i="17"/>
  <c r="AC36" i="17"/>
  <c r="AC35" i="17"/>
  <c r="AC34" i="17"/>
  <c r="AC33" i="17"/>
  <c r="AC32" i="17"/>
  <c r="AC31" i="17"/>
  <c r="AC29" i="17"/>
  <c r="AC20" i="17"/>
  <c r="AC19" i="17"/>
  <c r="AC18" i="17"/>
  <c r="AC17" i="17"/>
  <c r="AC16" i="17"/>
  <c r="AC15" i="17"/>
  <c r="AC14" i="17"/>
  <c r="AC13" i="17"/>
  <c r="AC12" i="17"/>
  <c r="AC11" i="17"/>
  <c r="AC10" i="17"/>
  <c r="AC9" i="17"/>
  <c r="AC8" i="17"/>
  <c r="AC7" i="17"/>
  <c r="AC6" i="17"/>
  <c r="AC5" i="17"/>
  <c r="AB85" i="11" l="1"/>
  <c r="AU43" i="13"/>
  <c r="E112" i="13"/>
  <c r="F112" i="13" s="1"/>
  <c r="AK93" i="13"/>
  <c r="AK94" i="13"/>
  <c r="AK95" i="13"/>
  <c r="AK96" i="13"/>
  <c r="AK97" i="13"/>
  <c r="AK98" i="13"/>
  <c r="AK99" i="13"/>
  <c r="AK100" i="13"/>
  <c r="AK101" i="13"/>
  <c r="AK102" i="13"/>
  <c r="AF114" i="13" s="1"/>
  <c r="D189" i="21" s="1"/>
  <c r="AK92" i="13"/>
  <c r="AP74" i="13"/>
  <c r="AH59" i="13"/>
  <c r="G169" i="21" s="1"/>
  <c r="AH60" i="13"/>
  <c r="G170" i="21" s="1"/>
  <c r="AH61" i="13"/>
  <c r="G171" i="21" s="1"/>
  <c r="AH62" i="13"/>
  <c r="G172" i="21" s="1"/>
  <c r="AH63" i="13"/>
  <c r="G173" i="21" s="1"/>
  <c r="AH64" i="13"/>
  <c r="G174" i="21" s="1"/>
  <c r="AH65" i="13"/>
  <c r="G175" i="21" s="1"/>
  <c r="AH66" i="13"/>
  <c r="G176" i="21" s="1"/>
  <c r="AH67" i="13"/>
  <c r="G177" i="21" s="1"/>
  <c r="AH68" i="13"/>
  <c r="G178" i="21" s="1"/>
  <c r="AH58" i="13"/>
  <c r="G168" i="21" s="1"/>
  <c r="AD42" i="13"/>
  <c r="AD43" i="13"/>
  <c r="AM77" i="13" s="1"/>
  <c r="AD44" i="13"/>
  <c r="AM78" i="13" s="1"/>
  <c r="AD45" i="13"/>
  <c r="AD46" i="13"/>
  <c r="AD47" i="13"/>
  <c r="AM81" i="13" s="1"/>
  <c r="AD48" i="13"/>
  <c r="AM82" i="13" s="1"/>
  <c r="AD49" i="13"/>
  <c r="AD50" i="13"/>
  <c r="AD51" i="13"/>
  <c r="AM85" i="13" s="1"/>
  <c r="C191" i="21" s="1"/>
  <c r="AD41" i="13"/>
  <c r="AM75" i="13" s="1"/>
  <c r="AE25" i="13"/>
  <c r="AE26" i="13"/>
  <c r="AE27" i="13"/>
  <c r="AK78" i="13" s="1"/>
  <c r="AE28" i="13"/>
  <c r="AK79" i="13" s="1"/>
  <c r="AE29" i="13"/>
  <c r="AK80" i="13" s="1"/>
  <c r="AE30" i="13"/>
  <c r="AE31" i="13"/>
  <c r="AE32" i="13"/>
  <c r="AE33" i="13"/>
  <c r="AE34" i="13"/>
  <c r="AE24" i="13"/>
  <c r="AF24" i="13"/>
  <c r="AD24" i="13"/>
  <c r="AL8" i="13"/>
  <c r="AM8" i="13"/>
  <c r="AO8" i="13"/>
  <c r="AL9" i="13"/>
  <c r="AF77" i="13" s="1"/>
  <c r="AM9" i="13"/>
  <c r="AG77" i="13" s="1"/>
  <c r="AO9" i="13"/>
  <c r="AI77" i="13" s="1"/>
  <c r="AL10" i="13"/>
  <c r="AM10" i="13"/>
  <c r="AO10" i="13"/>
  <c r="AL11" i="13"/>
  <c r="AF79" i="13" s="1"/>
  <c r="AM11" i="13"/>
  <c r="AO11" i="13"/>
  <c r="AI79" i="13" s="1"/>
  <c r="AL12" i="13"/>
  <c r="AM12" i="13"/>
  <c r="AO12" i="13"/>
  <c r="AI80" i="13" s="1"/>
  <c r="AE112" i="13" s="1"/>
  <c r="AL13" i="13"/>
  <c r="AF81" i="13" s="1"/>
  <c r="AM13" i="13"/>
  <c r="AO13" i="13"/>
  <c r="AI81" i="13" s="1"/>
  <c r="AL14" i="13"/>
  <c r="AM14" i="13"/>
  <c r="AO14" i="13"/>
  <c r="AL15" i="13"/>
  <c r="AM15" i="13"/>
  <c r="AG83" i="13" s="1"/>
  <c r="AO15" i="13"/>
  <c r="AI83" i="13" s="1"/>
  <c r="AL16" i="13"/>
  <c r="AM16" i="13"/>
  <c r="AG84" i="13" s="1"/>
  <c r="AO16" i="13"/>
  <c r="AI84" i="13" s="1"/>
  <c r="AL17" i="13"/>
  <c r="AF85" i="13" s="1"/>
  <c r="AM17" i="13"/>
  <c r="AG85" i="13" s="1"/>
  <c r="AO17" i="13"/>
  <c r="AF7" i="13"/>
  <c r="AL7" i="13"/>
  <c r="AF75" i="13" s="1"/>
  <c r="AM7" i="13"/>
  <c r="AN7" i="13"/>
  <c r="AO7" i="13"/>
  <c r="AI75" i="13" s="1"/>
  <c r="AK85" i="13"/>
  <c r="AM84" i="13"/>
  <c r="AK84" i="13"/>
  <c r="AF84" i="13"/>
  <c r="AM83" i="13"/>
  <c r="AK83" i="13"/>
  <c r="AF83" i="13"/>
  <c r="AK82" i="13"/>
  <c r="AI82" i="13"/>
  <c r="AG82" i="13"/>
  <c r="AF82" i="13"/>
  <c r="AK81" i="13"/>
  <c r="AG81" i="13"/>
  <c r="AM80" i="13"/>
  <c r="AG80" i="13"/>
  <c r="AE110" i="13" s="1"/>
  <c r="C185" i="21" s="1"/>
  <c r="AF80" i="13"/>
  <c r="AE109" i="13" s="1"/>
  <c r="C184" i="21" s="1"/>
  <c r="AM79" i="13"/>
  <c r="AG79" i="13"/>
  <c r="AI78" i="13"/>
  <c r="AF78" i="13"/>
  <c r="AK77" i="13"/>
  <c r="AM76" i="13"/>
  <c r="AK76" i="13"/>
  <c r="AG76" i="13"/>
  <c r="AF76" i="13"/>
  <c r="AO75" i="13"/>
  <c r="AL75" i="13"/>
  <c r="AK75" i="13"/>
  <c r="AJ75" i="13"/>
  <c r="AH75" i="13"/>
  <c r="AG75" i="13"/>
  <c r="AD75" i="13"/>
  <c r="AA198" i="11"/>
  <c r="AC198" i="11"/>
  <c r="AI198" i="11"/>
  <c r="AJ198" i="11"/>
  <c r="AK198" i="11"/>
  <c r="AL198" i="11"/>
  <c r="AM198" i="11"/>
  <c r="AA191" i="11"/>
  <c r="AA192" i="11"/>
  <c r="AA193" i="11"/>
  <c r="AA194" i="11"/>
  <c r="AA195" i="11"/>
  <c r="AA196" i="11"/>
  <c r="AA180" i="11"/>
  <c r="AC180" i="11"/>
  <c r="AI180" i="11"/>
  <c r="AJ180" i="11"/>
  <c r="AK180" i="11"/>
  <c r="AL180" i="11"/>
  <c r="AM180" i="11"/>
  <c r="AA181" i="11"/>
  <c r="AC181" i="11"/>
  <c r="AI181" i="11"/>
  <c r="AJ181" i="11"/>
  <c r="AK181" i="11"/>
  <c r="AL181" i="11"/>
  <c r="AM181" i="11"/>
  <c r="AA182" i="11"/>
  <c r="AC182" i="11"/>
  <c r="AI182" i="11"/>
  <c r="AJ182" i="11"/>
  <c r="AK182" i="11"/>
  <c r="AL182" i="11"/>
  <c r="AM182" i="11"/>
  <c r="AA183" i="11"/>
  <c r="AC183" i="11"/>
  <c r="AI183" i="11"/>
  <c r="AJ183" i="11"/>
  <c r="AK183" i="11"/>
  <c r="AL183" i="11"/>
  <c r="AM183" i="11"/>
  <c r="AA184" i="11"/>
  <c r="AC184" i="11"/>
  <c r="AI184" i="11"/>
  <c r="AJ184" i="11"/>
  <c r="AK184" i="11"/>
  <c r="AL184" i="11"/>
  <c r="AM184" i="11"/>
  <c r="AA185" i="11"/>
  <c r="AC185" i="11"/>
  <c r="AI185" i="11"/>
  <c r="AJ185" i="11"/>
  <c r="AK185" i="11"/>
  <c r="AL185" i="11"/>
  <c r="AM185" i="11"/>
  <c r="AA187" i="11"/>
  <c r="AC187" i="11"/>
  <c r="AI187" i="11"/>
  <c r="AJ187" i="11"/>
  <c r="AK187" i="11"/>
  <c r="AL187" i="11"/>
  <c r="AM187" i="11"/>
  <c r="AA179" i="11"/>
  <c r="AC179" i="11"/>
  <c r="AI179" i="11"/>
  <c r="AJ179" i="11"/>
  <c r="AK179" i="11"/>
  <c r="AK190" i="11" s="1"/>
  <c r="AL179" i="11"/>
  <c r="AM179" i="11"/>
  <c r="AA108" i="11"/>
  <c r="AC108" i="11"/>
  <c r="AD108" i="11"/>
  <c r="AA109" i="11"/>
  <c r="AC109" i="11"/>
  <c r="AD109" i="11"/>
  <c r="AE109" i="11"/>
  <c r="AF109" i="11"/>
  <c r="AG109" i="11"/>
  <c r="AH109" i="11"/>
  <c r="AI109" i="11"/>
  <c r="AA110" i="11"/>
  <c r="AC110" i="11"/>
  <c r="AA111" i="11"/>
  <c r="AC111" i="11"/>
  <c r="AD111" i="11"/>
  <c r="AA112" i="11"/>
  <c r="AC112" i="11"/>
  <c r="AD112" i="11"/>
  <c r="AE112" i="11"/>
  <c r="AF112" i="11"/>
  <c r="AG112" i="11"/>
  <c r="AH112" i="11"/>
  <c r="AI112" i="11"/>
  <c r="AA113" i="11"/>
  <c r="AC113" i="11"/>
  <c r="AA114" i="11"/>
  <c r="AC114" i="11"/>
  <c r="AD114" i="11"/>
  <c r="AA115" i="11"/>
  <c r="AC115" i="11"/>
  <c r="AD115" i="11"/>
  <c r="AE115" i="11"/>
  <c r="AF115" i="11"/>
  <c r="AG115" i="11"/>
  <c r="AH115" i="11"/>
  <c r="AI115" i="11"/>
  <c r="AA116" i="11"/>
  <c r="AC116" i="11"/>
  <c r="AA117" i="11"/>
  <c r="AC117" i="11"/>
  <c r="AA118" i="11"/>
  <c r="AC118" i="11"/>
  <c r="AD118" i="11"/>
  <c r="AE118" i="11"/>
  <c r="AF118" i="11"/>
  <c r="AA119" i="11"/>
  <c r="AC119" i="11"/>
  <c r="AA120" i="11"/>
  <c r="AC120" i="11"/>
  <c r="AD120" i="11"/>
  <c r="AE120" i="11"/>
  <c r="AF120" i="11"/>
  <c r="AA121" i="11"/>
  <c r="AC121" i="11"/>
  <c r="AA122" i="11"/>
  <c r="AC122" i="11"/>
  <c r="AA123" i="11"/>
  <c r="AC123" i="11"/>
  <c r="AD123" i="11"/>
  <c r="AE123" i="11"/>
  <c r="AF123" i="11"/>
  <c r="AA124" i="11"/>
  <c r="AC124" i="11"/>
  <c r="AA125" i="11"/>
  <c r="AC125" i="11"/>
  <c r="AD125" i="11"/>
  <c r="AE125" i="11"/>
  <c r="AF125" i="11"/>
  <c r="AA126" i="11"/>
  <c r="AC126" i="11"/>
  <c r="AA127" i="11"/>
  <c r="AC127" i="11"/>
  <c r="AD127" i="11"/>
  <c r="AE127" i="11"/>
  <c r="AF127" i="11"/>
  <c r="AA128" i="11"/>
  <c r="AC128" i="11"/>
  <c r="AA129" i="11"/>
  <c r="AC129" i="11"/>
  <c r="AA130" i="11"/>
  <c r="AC130" i="11"/>
  <c r="AD130" i="11"/>
  <c r="AE130" i="11"/>
  <c r="AF130" i="11"/>
  <c r="AA131" i="11"/>
  <c r="AC131" i="11"/>
  <c r="AA132" i="11"/>
  <c r="AC132" i="11"/>
  <c r="AD132" i="11"/>
  <c r="AE132" i="11"/>
  <c r="AF132" i="11"/>
  <c r="AA133" i="11"/>
  <c r="AC133" i="11"/>
  <c r="AA134" i="11"/>
  <c r="AC134" i="11"/>
  <c r="AD134" i="11"/>
  <c r="AA135" i="11"/>
  <c r="AC135" i="11"/>
  <c r="AD135" i="11"/>
  <c r="AE135" i="11"/>
  <c r="AF135" i="11"/>
  <c r="AG135" i="11"/>
  <c r="AH135" i="11"/>
  <c r="AI135" i="11"/>
  <c r="AA136" i="11"/>
  <c r="AC136" i="11"/>
  <c r="AA137" i="11"/>
  <c r="AC137" i="11"/>
  <c r="AA138" i="11"/>
  <c r="AC138" i="11"/>
  <c r="AA139" i="11"/>
  <c r="AC139" i="11"/>
  <c r="AA140" i="11"/>
  <c r="AC140" i="11"/>
  <c r="AD140" i="11"/>
  <c r="AE140" i="11"/>
  <c r="AF140" i="11"/>
  <c r="AG140" i="11"/>
  <c r="AA141" i="11"/>
  <c r="AC141" i="11"/>
  <c r="AA142" i="11"/>
  <c r="AC142" i="11"/>
  <c r="AA143" i="11"/>
  <c r="AC143" i="11"/>
  <c r="AA144" i="11"/>
  <c r="AC144" i="11"/>
  <c r="AA145" i="11"/>
  <c r="AC145" i="11"/>
  <c r="AA146" i="11"/>
  <c r="AC146" i="11"/>
  <c r="AA147" i="11"/>
  <c r="AC147" i="11"/>
  <c r="AA148" i="11"/>
  <c r="AC148" i="11"/>
  <c r="AA149" i="11"/>
  <c r="AC149" i="11"/>
  <c r="AA150" i="11"/>
  <c r="AC150" i="11"/>
  <c r="AA151" i="11"/>
  <c r="AC151" i="11"/>
  <c r="AA152" i="11"/>
  <c r="AC152" i="11"/>
  <c r="AA153" i="11"/>
  <c r="AC153" i="11"/>
  <c r="AA154" i="11"/>
  <c r="AC154" i="11"/>
  <c r="AA155" i="11"/>
  <c r="AC155" i="11"/>
  <c r="AA156" i="11"/>
  <c r="AC156" i="11"/>
  <c r="AD156" i="11"/>
  <c r="AE156" i="11"/>
  <c r="AF156" i="11"/>
  <c r="AA157" i="11"/>
  <c r="AC157" i="11"/>
  <c r="AA158" i="11"/>
  <c r="AC158" i="11"/>
  <c r="AD158" i="11"/>
  <c r="AE158" i="11"/>
  <c r="AF158" i="11"/>
  <c r="AA159" i="11"/>
  <c r="AC159" i="11"/>
  <c r="AA160" i="11"/>
  <c r="AC160" i="11"/>
  <c r="AD160" i="11"/>
  <c r="AE160" i="11"/>
  <c r="AF160" i="11"/>
  <c r="AG160" i="11"/>
  <c r="AH160" i="11"/>
  <c r="AA161" i="11"/>
  <c r="AC161" i="11"/>
  <c r="AA162" i="11"/>
  <c r="AC162" i="11"/>
  <c r="AA163" i="11"/>
  <c r="AC163" i="11"/>
  <c r="AA164" i="11"/>
  <c r="AC164" i="11"/>
  <c r="AA165" i="11"/>
  <c r="AC165" i="11"/>
  <c r="AA166" i="11"/>
  <c r="AC166" i="11"/>
  <c r="AA167" i="11"/>
  <c r="AC167" i="11"/>
  <c r="AA168" i="11"/>
  <c r="AC168" i="11"/>
  <c r="AA169" i="11"/>
  <c r="AC169" i="11"/>
  <c r="AA170" i="11"/>
  <c r="AC170" i="11"/>
  <c r="AA171" i="11"/>
  <c r="AC171" i="11"/>
  <c r="AI171" i="11"/>
  <c r="AJ171" i="11"/>
  <c r="AK171" i="11"/>
  <c r="AL171" i="11"/>
  <c r="AM171" i="11"/>
  <c r="AA172" i="11"/>
  <c r="AC172" i="11"/>
  <c r="AD172" i="11"/>
  <c r="AE172" i="11"/>
  <c r="AF172" i="11"/>
  <c r="AG172" i="11"/>
  <c r="AH172" i="11"/>
  <c r="AA173" i="11"/>
  <c r="AC173" i="11"/>
  <c r="AA174" i="11"/>
  <c r="AC174" i="11"/>
  <c r="AI174" i="11"/>
  <c r="AJ174" i="11"/>
  <c r="AK174" i="11"/>
  <c r="AL174" i="11"/>
  <c r="AM174" i="11"/>
  <c r="AA175" i="11"/>
  <c r="AC175" i="11"/>
  <c r="AD175" i="11"/>
  <c r="AE175" i="11"/>
  <c r="AF175" i="11"/>
  <c r="AG175" i="11"/>
  <c r="AH175" i="11"/>
  <c r="AA176" i="11"/>
  <c r="AC176" i="11"/>
  <c r="AA177" i="11"/>
  <c r="AC177" i="11"/>
  <c r="AA107" i="11"/>
  <c r="AC107" i="11"/>
  <c r="A189" i="11"/>
  <c r="A188" i="11"/>
  <c r="B179" i="11"/>
  <c r="C179" i="11"/>
  <c r="D179" i="11"/>
  <c r="E179" i="11"/>
  <c r="F179" i="11"/>
  <c r="G179" i="11"/>
  <c r="H179" i="11"/>
  <c r="I179" i="11"/>
  <c r="J179" i="11"/>
  <c r="K179" i="11"/>
  <c r="L179" i="11"/>
  <c r="M179" i="11"/>
  <c r="B180" i="11"/>
  <c r="C180" i="11"/>
  <c r="D180" i="11"/>
  <c r="E180" i="11"/>
  <c r="F180" i="11"/>
  <c r="G180" i="11"/>
  <c r="H180" i="11"/>
  <c r="I180" i="11"/>
  <c r="J180" i="11"/>
  <c r="K180" i="11"/>
  <c r="L180" i="11"/>
  <c r="M180" i="11"/>
  <c r="B181" i="11"/>
  <c r="C181" i="11"/>
  <c r="D181" i="11"/>
  <c r="E181" i="11"/>
  <c r="F181" i="11"/>
  <c r="G181" i="11"/>
  <c r="H181" i="11"/>
  <c r="I181" i="11"/>
  <c r="J181" i="11"/>
  <c r="K181" i="11"/>
  <c r="L181" i="11"/>
  <c r="M181" i="11"/>
  <c r="B182" i="11"/>
  <c r="C182" i="11"/>
  <c r="D182" i="11"/>
  <c r="E182" i="11"/>
  <c r="F182" i="11"/>
  <c r="G182" i="11"/>
  <c r="H182" i="11"/>
  <c r="I182" i="11"/>
  <c r="J182" i="11"/>
  <c r="K182" i="11"/>
  <c r="L182" i="11"/>
  <c r="M182" i="11"/>
  <c r="B183" i="11"/>
  <c r="C183" i="11"/>
  <c r="D183" i="11"/>
  <c r="E183" i="11"/>
  <c r="F183" i="11"/>
  <c r="G183" i="11"/>
  <c r="H183" i="11"/>
  <c r="I183" i="11"/>
  <c r="J183" i="11"/>
  <c r="K183" i="11"/>
  <c r="L183" i="11"/>
  <c r="M183" i="11"/>
  <c r="B184" i="11"/>
  <c r="C184" i="11"/>
  <c r="D184" i="11"/>
  <c r="E184" i="11"/>
  <c r="F184" i="11"/>
  <c r="G184" i="11"/>
  <c r="H184" i="11"/>
  <c r="I184" i="11"/>
  <c r="J184" i="11"/>
  <c r="K184" i="11"/>
  <c r="L184" i="11"/>
  <c r="M184" i="11"/>
  <c r="B185" i="11"/>
  <c r="C185" i="11"/>
  <c r="D185" i="11"/>
  <c r="E185" i="11"/>
  <c r="F185" i="11"/>
  <c r="G185" i="11"/>
  <c r="H185" i="11"/>
  <c r="I185" i="11"/>
  <c r="J185" i="11"/>
  <c r="K185" i="11"/>
  <c r="L185" i="11"/>
  <c r="M185" i="11"/>
  <c r="B187" i="11"/>
  <c r="C187" i="11"/>
  <c r="D187" i="11"/>
  <c r="E187" i="11"/>
  <c r="F187" i="11"/>
  <c r="G187" i="11"/>
  <c r="H187" i="11"/>
  <c r="I187" i="11"/>
  <c r="J187" i="11"/>
  <c r="K187" i="11"/>
  <c r="L187" i="11"/>
  <c r="M187" i="11"/>
  <c r="B191" i="11"/>
  <c r="C191" i="11"/>
  <c r="D191" i="11"/>
  <c r="E191" i="11"/>
  <c r="F191" i="11"/>
  <c r="G191" i="11"/>
  <c r="H191" i="11"/>
  <c r="I191" i="11"/>
  <c r="J191" i="11"/>
  <c r="K191" i="11"/>
  <c r="L191" i="11"/>
  <c r="M191" i="11"/>
  <c r="B192" i="11"/>
  <c r="C192" i="11"/>
  <c r="D192" i="11"/>
  <c r="E192" i="11"/>
  <c r="F192" i="11"/>
  <c r="G192" i="11"/>
  <c r="H192" i="11"/>
  <c r="I192" i="11"/>
  <c r="J192" i="11"/>
  <c r="K192" i="11"/>
  <c r="L192" i="11"/>
  <c r="M192" i="11"/>
  <c r="B193" i="11"/>
  <c r="C193" i="11"/>
  <c r="D193" i="11"/>
  <c r="E193" i="11"/>
  <c r="F193" i="11"/>
  <c r="G193" i="11"/>
  <c r="H193" i="11"/>
  <c r="I193" i="11"/>
  <c r="J193" i="11"/>
  <c r="K193" i="11"/>
  <c r="L193" i="11"/>
  <c r="M193" i="11"/>
  <c r="B194" i="11"/>
  <c r="C194" i="11"/>
  <c r="D194" i="11"/>
  <c r="E194" i="11"/>
  <c r="F194" i="11"/>
  <c r="G194" i="11"/>
  <c r="H194" i="11"/>
  <c r="I194" i="11"/>
  <c r="J194" i="11"/>
  <c r="K194" i="11"/>
  <c r="L194" i="11"/>
  <c r="M194" i="11"/>
  <c r="B195" i="11"/>
  <c r="C195" i="11"/>
  <c r="D195" i="11"/>
  <c r="E195" i="11"/>
  <c r="F195" i="11"/>
  <c r="G195" i="11"/>
  <c r="H195" i="11"/>
  <c r="I195" i="11"/>
  <c r="J195" i="11"/>
  <c r="K195" i="11"/>
  <c r="L195" i="11"/>
  <c r="M195" i="11"/>
  <c r="B196" i="11"/>
  <c r="C196" i="11"/>
  <c r="D196" i="11"/>
  <c r="E196" i="11"/>
  <c r="F196" i="11"/>
  <c r="G196" i="11"/>
  <c r="H196" i="11"/>
  <c r="I196" i="11"/>
  <c r="J196" i="11"/>
  <c r="K196" i="11"/>
  <c r="L196" i="11"/>
  <c r="M196" i="11"/>
  <c r="B198" i="11"/>
  <c r="C198" i="11"/>
  <c r="D198" i="11"/>
  <c r="E198" i="11"/>
  <c r="F198" i="11"/>
  <c r="G198" i="11"/>
  <c r="H198" i="11"/>
  <c r="I198" i="11"/>
  <c r="J198" i="11"/>
  <c r="K198" i="11"/>
  <c r="L198" i="11"/>
  <c r="M198" i="11"/>
  <c r="J107" i="6"/>
  <c r="J28" i="21" s="1"/>
  <c r="L107" i="6"/>
  <c r="L28" i="21" s="1"/>
  <c r="M107" i="6"/>
  <c r="M28" i="21" s="1"/>
  <c r="J108" i="6"/>
  <c r="J29" i="21" s="1"/>
  <c r="L108" i="6"/>
  <c r="L29" i="21" s="1"/>
  <c r="M108" i="6"/>
  <c r="M29" i="21" s="1"/>
  <c r="J109" i="6"/>
  <c r="J30" i="21" s="1"/>
  <c r="L109" i="6"/>
  <c r="L30" i="21" s="1"/>
  <c r="M109" i="6"/>
  <c r="M30" i="21" s="1"/>
  <c r="C93" i="6"/>
  <c r="J93" i="6" s="1"/>
  <c r="J14" i="21" s="1"/>
  <c r="M116" i="6"/>
  <c r="M37" i="21" s="1"/>
  <c r="L116" i="6"/>
  <c r="L37" i="21" s="1"/>
  <c r="J116" i="6"/>
  <c r="J37" i="21" s="1"/>
  <c r="M115" i="6"/>
  <c r="M36" i="21" s="1"/>
  <c r="K115" i="6"/>
  <c r="K36" i="21" s="1"/>
  <c r="J115" i="6"/>
  <c r="J36" i="21" s="1"/>
  <c r="M114" i="6"/>
  <c r="M35" i="21" s="1"/>
  <c r="K114" i="6"/>
  <c r="K35" i="21" s="1"/>
  <c r="J114" i="6"/>
  <c r="J35" i="21" s="1"/>
  <c r="M113" i="6"/>
  <c r="M34" i="21" s="1"/>
  <c r="K113" i="6"/>
  <c r="K34" i="21" s="1"/>
  <c r="J113" i="6"/>
  <c r="J34" i="21" s="1"/>
  <c r="M112" i="6"/>
  <c r="M33" i="21" s="1"/>
  <c r="K112" i="6"/>
  <c r="K33" i="21" s="1"/>
  <c r="J112" i="6"/>
  <c r="J33" i="21" s="1"/>
  <c r="M111" i="6"/>
  <c r="M32" i="21" s="1"/>
  <c r="K111" i="6"/>
  <c r="K32" i="21" s="1"/>
  <c r="J111" i="6"/>
  <c r="J32" i="21" s="1"/>
  <c r="M110" i="6"/>
  <c r="M31" i="21" s="1"/>
  <c r="K110" i="6"/>
  <c r="K31" i="21" s="1"/>
  <c r="J110" i="6"/>
  <c r="J31" i="21" s="1"/>
  <c r="M105" i="6"/>
  <c r="M26" i="21" s="1"/>
  <c r="L105" i="6"/>
  <c r="L26" i="21" s="1"/>
  <c r="J105" i="6"/>
  <c r="J26" i="21" s="1"/>
  <c r="M104" i="6"/>
  <c r="M25" i="21" s="1"/>
  <c r="L104" i="6"/>
  <c r="L25" i="21" s="1"/>
  <c r="J104" i="6"/>
  <c r="J25" i="21" s="1"/>
  <c r="M103" i="6"/>
  <c r="M24" i="21" s="1"/>
  <c r="L103" i="6"/>
  <c r="L24" i="21" s="1"/>
  <c r="J103" i="6"/>
  <c r="J24" i="21" s="1"/>
  <c r="M102" i="6"/>
  <c r="M23" i="21" s="1"/>
  <c r="L102" i="6"/>
  <c r="L23" i="21" s="1"/>
  <c r="J102" i="6"/>
  <c r="J23" i="21" s="1"/>
  <c r="M101" i="6"/>
  <c r="M22" i="21" s="1"/>
  <c r="L101" i="6"/>
  <c r="L22" i="21" s="1"/>
  <c r="J101" i="6"/>
  <c r="J22" i="21" s="1"/>
  <c r="M100" i="6"/>
  <c r="M21" i="21" s="1"/>
  <c r="L100" i="6"/>
  <c r="L21" i="21" s="1"/>
  <c r="J100" i="6"/>
  <c r="J21" i="21" s="1"/>
  <c r="M99" i="6"/>
  <c r="M20" i="21" s="1"/>
  <c r="L99" i="6"/>
  <c r="L20" i="21" s="1"/>
  <c r="J99" i="6"/>
  <c r="J20" i="21" s="1"/>
  <c r="M98" i="6"/>
  <c r="M19" i="21" s="1"/>
  <c r="L98" i="6"/>
  <c r="L19" i="21" s="1"/>
  <c r="K98" i="6"/>
  <c r="K19" i="21" s="1"/>
  <c r="M97" i="6"/>
  <c r="M18" i="21" s="1"/>
  <c r="L97" i="6"/>
  <c r="L18" i="21" s="1"/>
  <c r="K97" i="6"/>
  <c r="K18" i="21" s="1"/>
  <c r="M96" i="6"/>
  <c r="M17" i="21" s="1"/>
  <c r="L96" i="6"/>
  <c r="L17" i="21" s="1"/>
  <c r="K96" i="6"/>
  <c r="K17" i="21" s="1"/>
  <c r="M95" i="6"/>
  <c r="M16" i="21" s="1"/>
  <c r="L95" i="6"/>
  <c r="L16" i="21" s="1"/>
  <c r="K95" i="6"/>
  <c r="K16" i="21" s="1"/>
  <c r="M94" i="6"/>
  <c r="M15" i="21" s="1"/>
  <c r="L94" i="6"/>
  <c r="L15" i="21" s="1"/>
  <c r="K94" i="6"/>
  <c r="K15" i="21" s="1"/>
  <c r="M93" i="6"/>
  <c r="M14" i="21" s="1"/>
  <c r="L93" i="6"/>
  <c r="L14" i="21" s="1"/>
  <c r="K93" i="6"/>
  <c r="K14" i="21" s="1"/>
  <c r="M92" i="6"/>
  <c r="M13" i="21" s="1"/>
  <c r="L92" i="6"/>
  <c r="L13" i="21" s="1"/>
  <c r="K92" i="6"/>
  <c r="K13" i="21" s="1"/>
  <c r="M91" i="6"/>
  <c r="M12" i="21" s="1"/>
  <c r="L91" i="6"/>
  <c r="L12" i="21" s="1"/>
  <c r="K91" i="6"/>
  <c r="K12" i="21" s="1"/>
  <c r="Q90" i="6"/>
  <c r="M90" i="6"/>
  <c r="M11" i="21" s="1"/>
  <c r="L90" i="6"/>
  <c r="L11" i="21" s="1"/>
  <c r="K90" i="6"/>
  <c r="K11" i="21" s="1"/>
  <c r="Q89" i="6"/>
  <c r="M89" i="6"/>
  <c r="M10" i="21" s="1"/>
  <c r="L89" i="6"/>
  <c r="L10" i="21" s="1"/>
  <c r="K89" i="6"/>
  <c r="K10" i="21" s="1"/>
  <c r="Q88" i="6"/>
  <c r="M88" i="6"/>
  <c r="M9" i="21" s="1"/>
  <c r="L88" i="6"/>
  <c r="L9" i="21" s="1"/>
  <c r="K88" i="6"/>
  <c r="K9" i="21" s="1"/>
  <c r="Q87" i="6"/>
  <c r="M87" i="6"/>
  <c r="M8" i="21" s="1"/>
  <c r="L87" i="6"/>
  <c r="L8" i="21" s="1"/>
  <c r="K87" i="6"/>
  <c r="K8" i="21" s="1"/>
  <c r="Q86" i="6"/>
  <c r="M86" i="6"/>
  <c r="M7" i="21" s="1"/>
  <c r="L86" i="6"/>
  <c r="L7" i="21" s="1"/>
  <c r="K86" i="6"/>
  <c r="K7" i="21" s="1"/>
  <c r="L85" i="6"/>
  <c r="L6" i="21" s="1"/>
  <c r="K85" i="6"/>
  <c r="K6" i="21" s="1"/>
  <c r="J85" i="6"/>
  <c r="J6" i="21" s="1"/>
  <c r="AJ190" i="11" l="1"/>
  <c r="AM190" i="11"/>
  <c r="AC178" i="11"/>
  <c r="AC199" i="11" s="1"/>
  <c r="AX107" i="11" s="1"/>
  <c r="AJ7" i="13" s="1"/>
  <c r="C224" i="21" s="1"/>
  <c r="AL190" i="11"/>
  <c r="AI190" i="11"/>
  <c r="AM18" i="13"/>
  <c r="AG78" i="13"/>
  <c r="AG86" i="13" s="1"/>
  <c r="AC190" i="11"/>
  <c r="AO18" i="13"/>
  <c r="AF109" i="13"/>
  <c r="D184" i="21" s="1"/>
  <c r="AF116" i="13"/>
  <c r="D191" i="21" s="1"/>
  <c r="AF110" i="13"/>
  <c r="D185" i="21" s="1"/>
  <c r="AD52" i="13"/>
  <c r="AE35" i="13"/>
  <c r="AI76" i="13"/>
  <c r="AI85" i="13"/>
  <c r="C187" i="21" s="1"/>
  <c r="AL18" i="13"/>
  <c r="AM86" i="13"/>
  <c r="AH69" i="13"/>
  <c r="G179" i="21" s="1"/>
  <c r="AK86" i="13"/>
  <c r="AF86" i="13"/>
  <c r="AE75" i="13" l="1"/>
  <c r="AI86" i="13"/>
  <c r="AF112" i="13"/>
  <c r="D187" i="21" s="1"/>
  <c r="G30" i="16"/>
  <c r="D13" i="19" l="1"/>
  <c r="D12" i="19"/>
  <c r="G31" i="16" l="1"/>
  <c r="D432" i="21"/>
  <c r="G32" i="16"/>
  <c r="E432" i="21"/>
  <c r="B4" i="18"/>
  <c r="C150" i="21"/>
  <c r="D123" i="13"/>
  <c r="D118" i="13"/>
  <c r="D117" i="13"/>
  <c r="D116" i="13"/>
  <c r="D115" i="13"/>
  <c r="D114" i="13"/>
  <c r="D113" i="13"/>
  <c r="D112" i="13"/>
  <c r="D111" i="13"/>
  <c r="D110" i="13"/>
  <c r="D109" i="13"/>
  <c r="D124" i="13"/>
  <c r="D108" i="13"/>
  <c r="D122" i="13"/>
  <c r="D121" i="13"/>
  <c r="D107" i="13"/>
  <c r="D120" i="13"/>
  <c r="D119" i="13"/>
  <c r="Q10" i="6"/>
  <c r="Q9" i="6"/>
  <c r="Q8" i="6"/>
  <c r="Q7" i="6"/>
  <c r="Q6" i="6"/>
  <c r="D71" i="17"/>
  <c r="C285" i="21" s="1"/>
  <c r="G68" i="17"/>
  <c r="G67" i="17"/>
  <c r="G66" i="17"/>
  <c r="G65" i="17"/>
  <c r="G64" i="17"/>
  <c r="G63" i="17"/>
  <c r="G62" i="17"/>
  <c r="G61" i="17"/>
  <c r="G60" i="17"/>
  <c r="G59" i="17"/>
  <c r="G58" i="17"/>
  <c r="G57" i="17"/>
  <c r="G56" i="17"/>
  <c r="G55" i="17"/>
  <c r="G54" i="17"/>
  <c r="G53" i="17"/>
  <c r="D47" i="17"/>
  <c r="C260" i="21" s="1"/>
  <c r="G44" i="17"/>
  <c r="G43" i="17"/>
  <c r="G42" i="17"/>
  <c r="G41" i="17"/>
  <c r="G40" i="17"/>
  <c r="G39" i="17"/>
  <c r="G38" i="17"/>
  <c r="G37" i="17"/>
  <c r="G36" i="17"/>
  <c r="G35" i="17"/>
  <c r="G34" i="17"/>
  <c r="G33" i="17"/>
  <c r="G32" i="17"/>
  <c r="G31" i="17"/>
  <c r="G30" i="17"/>
  <c r="G29" i="17"/>
  <c r="D23" i="17"/>
  <c r="C235" i="21" s="1"/>
  <c r="G6" i="17"/>
  <c r="G7" i="17"/>
  <c r="G8" i="17"/>
  <c r="G9" i="17"/>
  <c r="G10" i="17"/>
  <c r="G11" i="17"/>
  <c r="G12" i="17"/>
  <c r="G13" i="17"/>
  <c r="G14" i="17"/>
  <c r="G15" i="17"/>
  <c r="G16" i="17"/>
  <c r="G17" i="17"/>
  <c r="G18" i="17"/>
  <c r="G19" i="17"/>
  <c r="G20" i="17"/>
  <c r="G5" i="17"/>
  <c r="K93" i="13"/>
  <c r="K94" i="13"/>
  <c r="K95" i="13"/>
  <c r="K96" i="13"/>
  <c r="K97" i="13"/>
  <c r="K98" i="13"/>
  <c r="K99" i="13"/>
  <c r="K100" i="13"/>
  <c r="K101" i="13"/>
  <c r="K102" i="13"/>
  <c r="D154" i="21" s="1"/>
  <c r="K92" i="13"/>
  <c r="AD115" i="13" l="1"/>
  <c r="B190" i="21" s="1"/>
  <c r="B153" i="21"/>
  <c r="D152" i="21"/>
  <c r="D147" i="21"/>
  <c r="D148" i="21"/>
  <c r="D150" i="21"/>
  <c r="D75" i="13"/>
  <c r="M76" i="13"/>
  <c r="M77" i="13"/>
  <c r="M78" i="13"/>
  <c r="M79" i="13"/>
  <c r="M80" i="13"/>
  <c r="M81" i="13"/>
  <c r="M82" i="13"/>
  <c r="M83" i="13"/>
  <c r="M84" i="13"/>
  <c r="M85" i="13"/>
  <c r="O75" i="13"/>
  <c r="M75" i="13"/>
  <c r="K76" i="13"/>
  <c r="K77" i="13"/>
  <c r="K78" i="13"/>
  <c r="K79" i="13"/>
  <c r="K80" i="13"/>
  <c r="K81" i="13"/>
  <c r="K82" i="13"/>
  <c r="K83" i="13"/>
  <c r="K84" i="13"/>
  <c r="K85" i="13"/>
  <c r="K75" i="13"/>
  <c r="L75" i="13"/>
  <c r="J75" i="13"/>
  <c r="F76" i="13"/>
  <c r="G76" i="13"/>
  <c r="I76" i="13"/>
  <c r="F77" i="13"/>
  <c r="G77" i="13"/>
  <c r="I77" i="13"/>
  <c r="F78" i="13"/>
  <c r="G78" i="13"/>
  <c r="I78" i="13"/>
  <c r="F79" i="13"/>
  <c r="G79" i="13"/>
  <c r="I79" i="13"/>
  <c r="F80" i="13"/>
  <c r="G80" i="13"/>
  <c r="I80" i="13"/>
  <c r="F81" i="13"/>
  <c r="G81" i="13"/>
  <c r="I81" i="13"/>
  <c r="F82" i="13"/>
  <c r="G82" i="13"/>
  <c r="I82" i="13"/>
  <c r="F83" i="13"/>
  <c r="G83" i="13"/>
  <c r="I83" i="13"/>
  <c r="F84" i="13"/>
  <c r="G84" i="13"/>
  <c r="I84" i="13"/>
  <c r="F85" i="13"/>
  <c r="G85" i="13"/>
  <c r="I85" i="13"/>
  <c r="G75" i="13"/>
  <c r="H75" i="13"/>
  <c r="I75" i="13"/>
  <c r="F75" i="13"/>
  <c r="G86" i="13" l="1"/>
  <c r="I86" i="13"/>
  <c r="F86" i="13"/>
  <c r="K86" i="13"/>
  <c r="M86" i="13"/>
  <c r="AC87" i="11"/>
  <c r="AI87" i="11"/>
  <c r="AJ87" i="11"/>
  <c r="AK87" i="11"/>
  <c r="AL87" i="11"/>
  <c r="AM87" i="11"/>
  <c r="E45" i="10" l="1"/>
  <c r="AC77" i="11"/>
  <c r="AC96" i="11" s="1"/>
  <c r="J7" i="13" s="1"/>
  <c r="H59" i="13"/>
  <c r="G132" i="21" s="1"/>
  <c r="H60" i="13"/>
  <c r="G133" i="21" s="1"/>
  <c r="H61" i="13"/>
  <c r="G134" i="21" s="1"/>
  <c r="H62" i="13"/>
  <c r="G135" i="21" s="1"/>
  <c r="H63" i="13"/>
  <c r="G136" i="21" s="1"/>
  <c r="H64" i="13"/>
  <c r="G137" i="21" s="1"/>
  <c r="H65" i="13"/>
  <c r="G138" i="21" s="1"/>
  <c r="H66" i="13"/>
  <c r="G139" i="21" s="1"/>
  <c r="H67" i="13"/>
  <c r="G140" i="21" s="1"/>
  <c r="H68" i="13"/>
  <c r="G141" i="21" s="1"/>
  <c r="H58" i="13"/>
  <c r="G131" i="21" s="1"/>
  <c r="F26" i="13"/>
  <c r="F27" i="13"/>
  <c r="F29" i="13"/>
  <c r="F30" i="13"/>
  <c r="F31" i="13"/>
  <c r="F32" i="13"/>
  <c r="F33" i="13"/>
  <c r="AF33" i="13" s="1"/>
  <c r="AL84" i="13" s="1"/>
  <c r="F34" i="13"/>
  <c r="AF34" i="13" s="1"/>
  <c r="AL85" i="13" s="1"/>
  <c r="E49" i="13"/>
  <c r="O18" i="13"/>
  <c r="N9" i="13"/>
  <c r="N10" i="13"/>
  <c r="N11" i="13"/>
  <c r="N12" i="13"/>
  <c r="N13" i="13"/>
  <c r="N14" i="13"/>
  <c r="N15" i="13"/>
  <c r="N16" i="13"/>
  <c r="N17" i="13"/>
  <c r="AN17" i="13" s="1"/>
  <c r="AH85" i="13" s="1"/>
  <c r="N8" i="13"/>
  <c r="G24" i="13"/>
  <c r="E58" i="13" s="1"/>
  <c r="M18" i="13"/>
  <c r="L18" i="13"/>
  <c r="AB88" i="11"/>
  <c r="AB191" i="11" s="1"/>
  <c r="AB89" i="11"/>
  <c r="AB192" i="11" s="1"/>
  <c r="AB90" i="11"/>
  <c r="AB193" i="11" s="1"/>
  <c r="AB91" i="11"/>
  <c r="AB194" i="11" s="1"/>
  <c r="AB92" i="11"/>
  <c r="AB195" i="11" s="1"/>
  <c r="AB93" i="11"/>
  <c r="AB196" i="11" s="1"/>
  <c r="E75" i="13" l="1"/>
  <c r="C211" i="21"/>
  <c r="AF29" i="13"/>
  <c r="AL80" i="13" s="1"/>
  <c r="AE115" i="13" s="1"/>
  <c r="AF115" i="13" s="1"/>
  <c r="D190" i="21" s="1"/>
  <c r="E115" i="13"/>
  <c r="F115" i="13" s="1"/>
  <c r="D18" i="14"/>
  <c r="E111" i="13"/>
  <c r="F111" i="13" s="1"/>
  <c r="D10" i="14"/>
  <c r="E42" i="13"/>
  <c r="N76" i="13" s="1"/>
  <c r="L81" i="13"/>
  <c r="AF30" i="13"/>
  <c r="AL81" i="13" s="1"/>
  <c r="L77" i="13"/>
  <c r="AF26" i="13"/>
  <c r="AL77" i="13" s="1"/>
  <c r="H83" i="13"/>
  <c r="AN15" i="13"/>
  <c r="AH83" i="13" s="1"/>
  <c r="H79" i="13"/>
  <c r="AN11" i="13"/>
  <c r="AH79" i="13" s="1"/>
  <c r="H76" i="13"/>
  <c r="AN8" i="13"/>
  <c r="H82" i="13"/>
  <c r="AN14" i="13"/>
  <c r="AH82" i="13" s="1"/>
  <c r="H78" i="13"/>
  <c r="AN10" i="13"/>
  <c r="AH78" i="13" s="1"/>
  <c r="L83" i="13"/>
  <c r="AF32" i="13"/>
  <c r="AL83" i="13" s="1"/>
  <c r="L79" i="13"/>
  <c r="AF28" i="13"/>
  <c r="AL79" i="13" s="1"/>
  <c r="H84" i="13"/>
  <c r="AN16" i="13"/>
  <c r="AH84" i="13" s="1"/>
  <c r="H80" i="13"/>
  <c r="AN12" i="13"/>
  <c r="AH80" i="13" s="1"/>
  <c r="AE111" i="13" s="1"/>
  <c r="H81" i="13"/>
  <c r="AN13" i="13"/>
  <c r="AH81" i="13" s="1"/>
  <c r="H77" i="13"/>
  <c r="AN9" i="13"/>
  <c r="AH77" i="13" s="1"/>
  <c r="L76" i="13"/>
  <c r="AF25" i="13"/>
  <c r="L82" i="13"/>
  <c r="AF31" i="13"/>
  <c r="AL82" i="13" s="1"/>
  <c r="L78" i="13"/>
  <c r="AF27" i="13"/>
  <c r="AL78" i="13" s="1"/>
  <c r="E45" i="13"/>
  <c r="N83" i="13"/>
  <c r="AE49" i="13"/>
  <c r="E44" i="13"/>
  <c r="H69" i="13"/>
  <c r="G142" i="21" s="1"/>
  <c r="H85" i="13"/>
  <c r="E46" i="13"/>
  <c r="E117" i="13" s="1"/>
  <c r="F117" i="13" s="1"/>
  <c r="E48" i="13"/>
  <c r="L85" i="13"/>
  <c r="AG90" i="11"/>
  <c r="AG193" i="11" s="1"/>
  <c r="AH93" i="11"/>
  <c r="AH196" i="11" s="1"/>
  <c r="AH89" i="11"/>
  <c r="AH192" i="11" s="1"/>
  <c r="AE92" i="11"/>
  <c r="AE195" i="11" s="1"/>
  <c r="AE88" i="11"/>
  <c r="AE191" i="11" s="1"/>
  <c r="AF91" i="11"/>
  <c r="AF194" i="11" s="1"/>
  <c r="L84" i="13"/>
  <c r="F35" i="13"/>
  <c r="L80" i="13"/>
  <c r="N18" i="13"/>
  <c r="E51" i="13"/>
  <c r="AE51" i="13" s="1"/>
  <c r="E47" i="13"/>
  <c r="E43" i="13"/>
  <c r="E50" i="13"/>
  <c r="AJ90" i="11"/>
  <c r="AJ193" i="11" s="1"/>
  <c r="AF90" i="11"/>
  <c r="AF193" i="11" s="1"/>
  <c r="AH92" i="11"/>
  <c r="AH195" i="11" s="1"/>
  <c r="AM91" i="11"/>
  <c r="AM194" i="11" s="1"/>
  <c r="AD90" i="11"/>
  <c r="AD193" i="11" s="1"/>
  <c r="AI91" i="11"/>
  <c r="AI194" i="11" s="1"/>
  <c r="AL88" i="11"/>
  <c r="AL191" i="11" s="1"/>
  <c r="AL92" i="11"/>
  <c r="AL195" i="11" s="1"/>
  <c r="AE91" i="11"/>
  <c r="AE194" i="11" s="1"/>
  <c r="AH88" i="11"/>
  <c r="AH191" i="11" s="1"/>
  <c r="AD91" i="11"/>
  <c r="AD194" i="11" s="1"/>
  <c r="AJ93" i="11"/>
  <c r="AJ196" i="11" s="1"/>
  <c r="AF93" i="11"/>
  <c r="AF196" i="11" s="1"/>
  <c r="AK92" i="11"/>
  <c r="AK195" i="11" s="1"/>
  <c r="AG92" i="11"/>
  <c r="AG195" i="11" s="1"/>
  <c r="AL91" i="11"/>
  <c r="AL194" i="11" s="1"/>
  <c r="AH91" i="11"/>
  <c r="AH194" i="11" s="1"/>
  <c r="AM90" i="11"/>
  <c r="AM193" i="11" s="1"/>
  <c r="AI90" i="11"/>
  <c r="AI193" i="11" s="1"/>
  <c r="AE90" i="11"/>
  <c r="AE193" i="11" s="1"/>
  <c r="AJ89" i="11"/>
  <c r="AJ192" i="11" s="1"/>
  <c r="AF89" i="11"/>
  <c r="AF192" i="11" s="1"/>
  <c r="AK88" i="11"/>
  <c r="AK191" i="11" s="1"/>
  <c r="AG88" i="11"/>
  <c r="AG191" i="11" s="1"/>
  <c r="AX6" i="11"/>
  <c r="AG93" i="11"/>
  <c r="AG196" i="11" s="1"/>
  <c r="AG89" i="11"/>
  <c r="AG192" i="11" s="1"/>
  <c r="AD88" i="11"/>
  <c r="AD191" i="11" s="1"/>
  <c r="AD92" i="11"/>
  <c r="AD195" i="11" s="1"/>
  <c r="AM93" i="11"/>
  <c r="AM196" i="11" s="1"/>
  <c r="AI93" i="11"/>
  <c r="AI196" i="11" s="1"/>
  <c r="AE93" i="11"/>
  <c r="AE196" i="11" s="1"/>
  <c r="AJ92" i="11"/>
  <c r="AJ195" i="11" s="1"/>
  <c r="AF92" i="11"/>
  <c r="AF195" i="11" s="1"/>
  <c r="AK91" i="11"/>
  <c r="AK194" i="11" s="1"/>
  <c r="AG91" i="11"/>
  <c r="AG194" i="11" s="1"/>
  <c r="AL90" i="11"/>
  <c r="AL193" i="11" s="1"/>
  <c r="AH90" i="11"/>
  <c r="AH193" i="11" s="1"/>
  <c r="AM89" i="11"/>
  <c r="AM192" i="11" s="1"/>
  <c r="AI89" i="11"/>
  <c r="AI192" i="11" s="1"/>
  <c r="AE89" i="11"/>
  <c r="AE192" i="11" s="1"/>
  <c r="AJ88" i="11"/>
  <c r="AJ191" i="11" s="1"/>
  <c r="AF88" i="11"/>
  <c r="AF191" i="11" s="1"/>
  <c r="AK93" i="11"/>
  <c r="AK196" i="11" s="1"/>
  <c r="AK89" i="11"/>
  <c r="AK192" i="11" s="1"/>
  <c r="AD89" i="11"/>
  <c r="AD192" i="11" s="1"/>
  <c r="AD93" i="11"/>
  <c r="AD196" i="11" s="1"/>
  <c r="AL93" i="11"/>
  <c r="AL196" i="11" s="1"/>
  <c r="AM92" i="11"/>
  <c r="AM195" i="11" s="1"/>
  <c r="AI92" i="11"/>
  <c r="AI195" i="11" s="1"/>
  <c r="AJ91" i="11"/>
  <c r="AJ194" i="11" s="1"/>
  <c r="AK90" i="11"/>
  <c r="AK193" i="11" s="1"/>
  <c r="AL89" i="11"/>
  <c r="AL192" i="11" s="1"/>
  <c r="AM88" i="11"/>
  <c r="AM191" i="11" s="1"/>
  <c r="AI88" i="11"/>
  <c r="AI191" i="11" s="1"/>
  <c r="E35" i="13"/>
  <c r="C190" i="21" l="1"/>
  <c r="AE42" i="13"/>
  <c r="H86" i="13"/>
  <c r="AF35" i="13"/>
  <c r="AL76" i="13"/>
  <c r="AL86" i="13" s="1"/>
  <c r="AH76" i="13"/>
  <c r="AH86" i="13" s="1"/>
  <c r="AN18" i="13"/>
  <c r="D153" i="21"/>
  <c r="C153" i="21"/>
  <c r="AF111" i="13"/>
  <c r="D186" i="21" s="1"/>
  <c r="C186" i="21"/>
  <c r="D149" i="21"/>
  <c r="C149" i="21"/>
  <c r="N84" i="13"/>
  <c r="AE50" i="13"/>
  <c r="AN84" i="13" s="1"/>
  <c r="N77" i="13"/>
  <c r="AE43" i="13"/>
  <c r="AN77" i="13" s="1"/>
  <c r="N75" i="13"/>
  <c r="P75" i="13" s="1"/>
  <c r="AE41" i="13"/>
  <c r="E52" i="13"/>
  <c r="N81" i="13"/>
  <c r="AE47" i="13"/>
  <c r="AN81" i="13" s="1"/>
  <c r="N82" i="13"/>
  <c r="AE48" i="13"/>
  <c r="AN82" i="13" s="1"/>
  <c r="N80" i="13"/>
  <c r="AE46" i="13"/>
  <c r="AN80" i="13" s="1"/>
  <c r="AE117" i="13" s="1"/>
  <c r="N78" i="13"/>
  <c r="AE44" i="13"/>
  <c r="AN78" i="13" s="1"/>
  <c r="N79" i="13"/>
  <c r="AE45" i="13"/>
  <c r="AN79" i="13" s="1"/>
  <c r="N85" i="13"/>
  <c r="L86" i="13"/>
  <c r="AN85" i="13"/>
  <c r="AN83" i="13"/>
  <c r="AG41" i="13"/>
  <c r="AN75" i="13"/>
  <c r="AN76" i="13"/>
  <c r="AH197" i="11"/>
  <c r="AF197" i="11"/>
  <c r="AD197" i="11"/>
  <c r="AE197" i="11"/>
  <c r="AJ197" i="11"/>
  <c r="AI197" i="11"/>
  <c r="AG197" i="11"/>
  <c r="AL197" i="11"/>
  <c r="AE94" i="11"/>
  <c r="AM197" i="11"/>
  <c r="AK197" i="11"/>
  <c r="AF94" i="11"/>
  <c r="AM94" i="11"/>
  <c r="AI94" i="11"/>
  <c r="AD94" i="11"/>
  <c r="AK94" i="11"/>
  <c r="AG94" i="11"/>
  <c r="AJ94" i="11"/>
  <c r="AL94" i="11"/>
  <c r="AH94" i="11"/>
  <c r="AN90" i="11"/>
  <c r="AN193" i="11" s="1"/>
  <c r="AN92" i="11"/>
  <c r="AN195" i="11" s="1"/>
  <c r="AN91" i="11"/>
  <c r="AN194" i="11" s="1"/>
  <c r="AN93" i="11"/>
  <c r="AN196" i="11" s="1"/>
  <c r="AN88" i="11"/>
  <c r="AN191" i="11" s="1"/>
  <c r="AN89" i="11"/>
  <c r="AN192" i="11" s="1"/>
  <c r="D52" i="13"/>
  <c r="N86" i="13" l="1"/>
  <c r="D155" i="21"/>
  <c r="C155" i="21"/>
  <c r="AE52" i="13"/>
  <c r="C192" i="21"/>
  <c r="AF117" i="13"/>
  <c r="D192" i="21" s="1"/>
  <c r="AN86" i="13"/>
  <c r="AF58" i="13"/>
  <c r="E168" i="21" s="1"/>
  <c r="AN197" i="11"/>
  <c r="AN94" i="11"/>
  <c r="M7" i="11"/>
  <c r="M108" i="11" s="1"/>
  <c r="M8" i="11"/>
  <c r="M109" i="11" s="1"/>
  <c r="M9" i="11"/>
  <c r="M110" i="11" s="1"/>
  <c r="M10" i="11"/>
  <c r="M111" i="11" s="1"/>
  <c r="M11" i="11"/>
  <c r="M112" i="11" s="1"/>
  <c r="M12" i="11"/>
  <c r="M113" i="11" s="1"/>
  <c r="M13" i="11"/>
  <c r="M114" i="11" s="1"/>
  <c r="M14" i="11"/>
  <c r="M115" i="11" s="1"/>
  <c r="M15" i="11"/>
  <c r="M116" i="11" s="1"/>
  <c r="M16" i="11"/>
  <c r="M117" i="11" s="1"/>
  <c r="M17" i="11"/>
  <c r="M118" i="11" s="1"/>
  <c r="M18" i="11"/>
  <c r="M119" i="11" s="1"/>
  <c r="M19" i="11"/>
  <c r="M120" i="11" s="1"/>
  <c r="M20" i="11"/>
  <c r="M121" i="11" s="1"/>
  <c r="M21" i="11"/>
  <c r="M122" i="11" s="1"/>
  <c r="M22" i="11"/>
  <c r="M123" i="11" s="1"/>
  <c r="M23" i="11"/>
  <c r="M124" i="11" s="1"/>
  <c r="M24" i="11"/>
  <c r="M125" i="11" s="1"/>
  <c r="M25" i="11"/>
  <c r="M126" i="11" s="1"/>
  <c r="M26" i="11"/>
  <c r="M127" i="11" s="1"/>
  <c r="M27" i="11"/>
  <c r="M128" i="11" s="1"/>
  <c r="M28" i="11"/>
  <c r="M129" i="11" s="1"/>
  <c r="M29" i="11"/>
  <c r="M130" i="11" s="1"/>
  <c r="M30" i="11"/>
  <c r="M131" i="11" s="1"/>
  <c r="M31" i="11"/>
  <c r="M132" i="11" s="1"/>
  <c r="M32" i="11"/>
  <c r="M133" i="11" s="1"/>
  <c r="M33" i="11"/>
  <c r="M134" i="11" s="1"/>
  <c r="M34" i="11"/>
  <c r="M135" i="11" s="1"/>
  <c r="M35" i="11"/>
  <c r="M136" i="11" s="1"/>
  <c r="M36" i="11"/>
  <c r="M137" i="11" s="1"/>
  <c r="M37" i="11"/>
  <c r="M138" i="11" s="1"/>
  <c r="M38" i="11"/>
  <c r="M139" i="11" s="1"/>
  <c r="M39" i="11"/>
  <c r="M140" i="11" s="1"/>
  <c r="M40" i="11"/>
  <c r="M141" i="11" s="1"/>
  <c r="M41" i="11"/>
  <c r="M142" i="11" s="1"/>
  <c r="M42" i="11"/>
  <c r="M143" i="11" s="1"/>
  <c r="M43" i="11"/>
  <c r="M144" i="11" s="1"/>
  <c r="M44" i="11"/>
  <c r="M145" i="11" s="1"/>
  <c r="M45" i="11"/>
  <c r="M146" i="11" s="1"/>
  <c r="M46" i="11"/>
  <c r="M147" i="11" s="1"/>
  <c r="M47" i="11"/>
  <c r="M148" i="11" s="1"/>
  <c r="M48" i="11"/>
  <c r="M149" i="11" s="1"/>
  <c r="M49" i="11"/>
  <c r="M150" i="11" s="1"/>
  <c r="M50" i="11"/>
  <c r="M151" i="11" s="1"/>
  <c r="M51" i="11"/>
  <c r="M152" i="11" s="1"/>
  <c r="M52" i="11"/>
  <c r="M153" i="11" s="1"/>
  <c r="M53" i="11"/>
  <c r="M154" i="11" s="1"/>
  <c r="M54" i="11"/>
  <c r="M155" i="11" s="1"/>
  <c r="M55" i="11"/>
  <c r="M156" i="11" s="1"/>
  <c r="M56" i="11"/>
  <c r="M157" i="11" s="1"/>
  <c r="M57" i="11"/>
  <c r="M158" i="11" s="1"/>
  <c r="M58" i="11"/>
  <c r="M159" i="11" s="1"/>
  <c r="M59" i="11"/>
  <c r="M160" i="11" s="1"/>
  <c r="M6" i="11"/>
  <c r="M107" i="11" s="1"/>
  <c r="E33" i="6" l="1"/>
  <c r="E115" i="6" s="1"/>
  <c r="L115" i="6" s="1"/>
  <c r="L36" i="21" s="1"/>
  <c r="E32" i="6"/>
  <c r="E31" i="6"/>
  <c r="E113" i="6" s="1"/>
  <c r="L113" i="6" s="1"/>
  <c r="L34" i="21" s="1"/>
  <c r="E30" i="6"/>
  <c r="E29" i="6"/>
  <c r="E28" i="6"/>
  <c r="C25" i="8"/>
  <c r="D34" i="6"/>
  <c r="D21" i="6"/>
  <c r="D24" i="6"/>
  <c r="K24" i="6" s="1"/>
  <c r="D25" i="21" s="1"/>
  <c r="D25" i="6"/>
  <c r="K25" i="6" s="1"/>
  <c r="D26" i="21" s="1"/>
  <c r="D27" i="6"/>
  <c r="K27" i="6" s="1"/>
  <c r="D28" i="21" s="1"/>
  <c r="C18" i="6"/>
  <c r="C98" i="6" s="1"/>
  <c r="J98" i="6" s="1"/>
  <c r="J19" i="21" s="1"/>
  <c r="C17" i="6"/>
  <c r="C97" i="6" s="1"/>
  <c r="J97" i="6" s="1"/>
  <c r="J18" i="21" s="1"/>
  <c r="C16" i="6"/>
  <c r="C15" i="6"/>
  <c r="C95" i="6" s="1"/>
  <c r="J95" i="6" s="1"/>
  <c r="J16" i="21" s="1"/>
  <c r="C14" i="6"/>
  <c r="O68" i="11"/>
  <c r="O169" i="11" s="1"/>
  <c r="C7" i="8"/>
  <c r="C21" i="8"/>
  <c r="C22" i="8"/>
  <c r="C20" i="8"/>
  <c r="C19" i="8"/>
  <c r="E84" i="7"/>
  <c r="D22" i="6"/>
  <c r="C18" i="8"/>
  <c r="D20" i="6"/>
  <c r="D19" i="6"/>
  <c r="C17" i="8"/>
  <c r="E4" i="9"/>
  <c r="C13" i="8"/>
  <c r="C9" i="6" s="1"/>
  <c r="C89" i="6" s="1"/>
  <c r="J89" i="6" s="1"/>
  <c r="J10" i="21" s="1"/>
  <c r="C10" i="8"/>
  <c r="C12" i="6" s="1"/>
  <c r="C92" i="6" s="1"/>
  <c r="J92" i="6" s="1"/>
  <c r="J13" i="21" s="1"/>
  <c r="E92" i="7"/>
  <c r="E93" i="7"/>
  <c r="E94" i="7"/>
  <c r="C6" i="8"/>
  <c r="C5" i="8"/>
  <c r="E11" i="8" s="1"/>
  <c r="C9" i="8"/>
  <c r="C11" i="6" s="1"/>
  <c r="C8" i="8"/>
  <c r="C10" i="6" s="1"/>
  <c r="C11" i="8"/>
  <c r="C7" i="6" s="1"/>
  <c r="C87" i="6" s="1"/>
  <c r="J87" i="6" s="1"/>
  <c r="J8" i="21" s="1"/>
  <c r="C12" i="8"/>
  <c r="C6" i="6" s="1"/>
  <c r="C14" i="8"/>
  <c r="K6" i="6"/>
  <c r="D7" i="21" s="1"/>
  <c r="L6" i="6"/>
  <c r="E7" i="21" s="1"/>
  <c r="M6" i="6"/>
  <c r="F7" i="21" s="1"/>
  <c r="K7" i="6"/>
  <c r="D8" i="21" s="1"/>
  <c r="L7" i="6"/>
  <c r="E8" i="21" s="1"/>
  <c r="M7" i="6"/>
  <c r="F8" i="21" s="1"/>
  <c r="K8" i="6"/>
  <c r="D9" i="21" s="1"/>
  <c r="L8" i="6"/>
  <c r="E9" i="21" s="1"/>
  <c r="M8" i="6"/>
  <c r="F9" i="21" s="1"/>
  <c r="K9" i="6"/>
  <c r="D10" i="21" s="1"/>
  <c r="L9" i="6"/>
  <c r="E10" i="21" s="1"/>
  <c r="M9" i="6"/>
  <c r="F10" i="21" s="1"/>
  <c r="K10" i="6"/>
  <c r="D11" i="21" s="1"/>
  <c r="L10" i="6"/>
  <c r="E11" i="21" s="1"/>
  <c r="M10" i="6"/>
  <c r="F11" i="21" s="1"/>
  <c r="K11" i="6"/>
  <c r="D12" i="21" s="1"/>
  <c r="L11" i="6"/>
  <c r="E12" i="21" s="1"/>
  <c r="M11" i="6"/>
  <c r="F12" i="21" s="1"/>
  <c r="K12" i="6"/>
  <c r="D13" i="21" s="1"/>
  <c r="L12" i="6"/>
  <c r="E13" i="21" s="1"/>
  <c r="M12" i="6"/>
  <c r="F13" i="21" s="1"/>
  <c r="K13" i="6"/>
  <c r="D14" i="21" s="1"/>
  <c r="L13" i="6"/>
  <c r="E14" i="21" s="1"/>
  <c r="M13" i="6"/>
  <c r="F14" i="21" s="1"/>
  <c r="K14" i="6"/>
  <c r="D15" i="21" s="1"/>
  <c r="L14" i="6"/>
  <c r="E15" i="21" s="1"/>
  <c r="M14" i="6"/>
  <c r="F15" i="21" s="1"/>
  <c r="K15" i="6"/>
  <c r="D16" i="21" s="1"/>
  <c r="L15" i="6"/>
  <c r="E16" i="21" s="1"/>
  <c r="M15" i="6"/>
  <c r="F16" i="21" s="1"/>
  <c r="K16" i="6"/>
  <c r="D17" i="21" s="1"/>
  <c r="L16" i="6"/>
  <c r="E17" i="21" s="1"/>
  <c r="M16" i="6"/>
  <c r="F17" i="21" s="1"/>
  <c r="K17" i="6"/>
  <c r="D18" i="21" s="1"/>
  <c r="L17" i="6"/>
  <c r="E18" i="21" s="1"/>
  <c r="M17" i="6"/>
  <c r="F18" i="21" s="1"/>
  <c r="K18" i="6"/>
  <c r="D19" i="21" s="1"/>
  <c r="L18" i="6"/>
  <c r="E19" i="21" s="1"/>
  <c r="M18" i="6"/>
  <c r="F19" i="21" s="1"/>
  <c r="J19" i="6"/>
  <c r="C20" i="21" s="1"/>
  <c r="L19" i="6"/>
  <c r="E20" i="21" s="1"/>
  <c r="M19" i="6"/>
  <c r="F20" i="21" s="1"/>
  <c r="J20" i="6"/>
  <c r="C21" i="21" s="1"/>
  <c r="L20" i="6"/>
  <c r="E21" i="21" s="1"/>
  <c r="M20" i="6"/>
  <c r="F21" i="21" s="1"/>
  <c r="J21" i="6"/>
  <c r="C22" i="21" s="1"/>
  <c r="L21" i="6"/>
  <c r="E22" i="21" s="1"/>
  <c r="M21" i="6"/>
  <c r="F22" i="21" s="1"/>
  <c r="J22" i="6"/>
  <c r="C23" i="21" s="1"/>
  <c r="L22" i="6"/>
  <c r="E23" i="21" s="1"/>
  <c r="M22" i="6"/>
  <c r="F23" i="21" s="1"/>
  <c r="J23" i="6"/>
  <c r="C24" i="21" s="1"/>
  <c r="L23" i="6"/>
  <c r="E24" i="21" s="1"/>
  <c r="M23" i="6"/>
  <c r="F24" i="21" s="1"/>
  <c r="J24" i="6"/>
  <c r="C25" i="21" s="1"/>
  <c r="L24" i="6"/>
  <c r="E25" i="21" s="1"/>
  <c r="M24" i="6"/>
  <c r="F25" i="21" s="1"/>
  <c r="J25" i="6"/>
  <c r="C26" i="21" s="1"/>
  <c r="L25" i="6"/>
  <c r="E26" i="21" s="1"/>
  <c r="M25" i="6"/>
  <c r="F26" i="21" s="1"/>
  <c r="J27" i="6"/>
  <c r="C28" i="21" s="1"/>
  <c r="L27" i="6"/>
  <c r="E28" i="21" s="1"/>
  <c r="M27" i="6"/>
  <c r="F28" i="21" s="1"/>
  <c r="J28" i="6"/>
  <c r="C29" i="21" s="1"/>
  <c r="K28" i="6"/>
  <c r="D29" i="21" s="1"/>
  <c r="M28" i="6"/>
  <c r="F29" i="21" s="1"/>
  <c r="J29" i="6"/>
  <c r="C30" i="21" s="1"/>
  <c r="K29" i="6"/>
  <c r="D30" i="21" s="1"/>
  <c r="M29" i="6"/>
  <c r="F30" i="21" s="1"/>
  <c r="J30" i="6"/>
  <c r="C31" i="21" s="1"/>
  <c r="K30" i="6"/>
  <c r="D31" i="21" s="1"/>
  <c r="M30" i="6"/>
  <c r="F31" i="21" s="1"/>
  <c r="J31" i="6"/>
  <c r="C32" i="21" s="1"/>
  <c r="K31" i="6"/>
  <c r="D32" i="21" s="1"/>
  <c r="M31" i="6"/>
  <c r="F32" i="21" s="1"/>
  <c r="J32" i="6"/>
  <c r="C33" i="21" s="1"/>
  <c r="K32" i="6"/>
  <c r="D33" i="21" s="1"/>
  <c r="M32" i="6"/>
  <c r="F33" i="21" s="1"/>
  <c r="J33" i="6"/>
  <c r="C34" i="21" s="1"/>
  <c r="K33" i="6"/>
  <c r="D34" i="21" s="1"/>
  <c r="M33" i="6"/>
  <c r="F34" i="21" s="1"/>
  <c r="J34" i="6"/>
  <c r="C35" i="21" s="1"/>
  <c r="L34" i="6"/>
  <c r="E35" i="21" s="1"/>
  <c r="M34" i="6"/>
  <c r="F35" i="21" s="1"/>
  <c r="K5" i="6"/>
  <c r="D6" i="21" s="1"/>
  <c r="L5" i="6"/>
  <c r="E6" i="21" s="1"/>
  <c r="J5" i="6"/>
  <c r="C6" i="21" s="1"/>
  <c r="L29" i="6"/>
  <c r="E30" i="21" s="1"/>
  <c r="J18" i="6"/>
  <c r="C19" i="21" s="1"/>
  <c r="J14" i="6"/>
  <c r="C15" i="21" s="1"/>
  <c r="N23" i="5"/>
  <c r="N8" i="5"/>
  <c r="M27" i="5"/>
  <c r="M28" i="5"/>
  <c r="I6" i="5"/>
  <c r="J6" i="5" s="1"/>
  <c r="K6" i="5" s="1"/>
  <c r="I7" i="5"/>
  <c r="J7" i="5" s="1"/>
  <c r="L7" i="5" s="1"/>
  <c r="I8" i="5"/>
  <c r="J8" i="5" s="1"/>
  <c r="I9" i="5"/>
  <c r="J9" i="5" s="1"/>
  <c r="K9" i="5" s="1"/>
  <c r="I10" i="5"/>
  <c r="I11" i="5"/>
  <c r="J11" i="5" s="1"/>
  <c r="L11" i="5" s="1"/>
  <c r="I12" i="5"/>
  <c r="J12" i="5" s="1"/>
  <c r="I13" i="5"/>
  <c r="J13" i="5" s="1"/>
  <c r="K13" i="5" s="1"/>
  <c r="I14" i="5"/>
  <c r="J14" i="5" s="1"/>
  <c r="I15" i="5"/>
  <c r="J15" i="5" s="1"/>
  <c r="L15" i="5" s="1"/>
  <c r="I16" i="5"/>
  <c r="J16" i="5" s="1"/>
  <c r="I17" i="5"/>
  <c r="J17" i="5" s="1"/>
  <c r="K17" i="5" s="1"/>
  <c r="I18" i="5"/>
  <c r="I19" i="5"/>
  <c r="J19" i="5" s="1"/>
  <c r="L19" i="5" s="1"/>
  <c r="I20" i="5"/>
  <c r="J20" i="5" s="1"/>
  <c r="L20" i="5" s="1"/>
  <c r="I23" i="5"/>
  <c r="J23" i="5" s="1"/>
  <c r="L23" i="5" s="1"/>
  <c r="I24" i="5"/>
  <c r="J24" i="5" s="1"/>
  <c r="K24" i="5" s="1"/>
  <c r="I25" i="5"/>
  <c r="J25" i="5" s="1"/>
  <c r="I26" i="5"/>
  <c r="J26" i="5" s="1"/>
  <c r="L26" i="5" s="1"/>
  <c r="I27" i="5"/>
  <c r="J27" i="5" s="1"/>
  <c r="K27" i="5" s="1"/>
  <c r="I28" i="5"/>
  <c r="J28" i="5" s="1"/>
  <c r="K28" i="5" s="1"/>
  <c r="I29" i="5"/>
  <c r="J29" i="5" s="1"/>
  <c r="I30" i="5"/>
  <c r="J30" i="5" s="1"/>
  <c r="L30" i="5" s="1"/>
  <c r="I31" i="5"/>
  <c r="J31" i="5" s="1"/>
  <c r="K31" i="5" s="1"/>
  <c r="I32" i="5"/>
  <c r="J32" i="5" s="1"/>
  <c r="I33" i="5"/>
  <c r="J33" i="5" s="1"/>
  <c r="K33" i="5" s="1"/>
  <c r="I34" i="5"/>
  <c r="J34" i="5" s="1"/>
  <c r="I35" i="5"/>
  <c r="J35" i="5" s="1"/>
  <c r="K35" i="5" s="1"/>
  <c r="J5" i="5"/>
  <c r="E44" i="5"/>
  <c r="E45" i="5"/>
  <c r="E46" i="5"/>
  <c r="E47" i="5"/>
  <c r="E43" i="5"/>
  <c r="H6" i="5"/>
  <c r="H7" i="5"/>
  <c r="H8" i="5"/>
  <c r="H9" i="5"/>
  <c r="H10" i="5"/>
  <c r="H11" i="5"/>
  <c r="H12" i="5"/>
  <c r="H13" i="5"/>
  <c r="H14" i="5"/>
  <c r="H15" i="5"/>
  <c r="H16" i="5"/>
  <c r="H17" i="5"/>
  <c r="H18" i="5"/>
  <c r="H19" i="5"/>
  <c r="H20" i="5"/>
  <c r="H23" i="5"/>
  <c r="H24" i="5"/>
  <c r="H25" i="5"/>
  <c r="H26" i="5"/>
  <c r="H27" i="5"/>
  <c r="H28" i="5"/>
  <c r="H29" i="5"/>
  <c r="H30" i="5"/>
  <c r="H31" i="5"/>
  <c r="H32" i="5"/>
  <c r="H33" i="5"/>
  <c r="H34" i="5"/>
  <c r="H35" i="5"/>
  <c r="H5" i="5"/>
  <c r="I22" i="5"/>
  <c r="H21" i="5"/>
  <c r="F53" i="7"/>
  <c r="F47" i="7"/>
  <c r="F48" i="7"/>
  <c r="F49" i="7"/>
  <c r="F50" i="7"/>
  <c r="F51" i="7"/>
  <c r="F46" i="7"/>
  <c r="F44" i="5"/>
  <c r="G44" i="5" s="1"/>
  <c r="H44" i="5" s="1"/>
  <c r="J44" i="5" s="1"/>
  <c r="F45" i="5"/>
  <c r="G45" i="5" s="1"/>
  <c r="H45" i="5" s="1"/>
  <c r="J45" i="5" s="1"/>
  <c r="F46" i="5"/>
  <c r="G46" i="5" s="1"/>
  <c r="H46" i="5" s="1"/>
  <c r="J46" i="5" s="1"/>
  <c r="F47" i="5"/>
  <c r="G47" i="5" s="1"/>
  <c r="H47" i="5" s="1"/>
  <c r="J47" i="5" s="1"/>
  <c r="F43" i="5"/>
  <c r="G43" i="5" s="1"/>
  <c r="H43" i="5" s="1"/>
  <c r="J43" i="5" s="1"/>
  <c r="L21" i="5"/>
  <c r="L22" i="5"/>
  <c r="K21" i="5"/>
  <c r="K22" i="5"/>
  <c r="M6" i="5"/>
  <c r="N6" i="5"/>
  <c r="M7" i="5"/>
  <c r="N7" i="5"/>
  <c r="M8" i="5"/>
  <c r="M9" i="5"/>
  <c r="N9" i="5"/>
  <c r="M10" i="5"/>
  <c r="N10" i="5"/>
  <c r="M11" i="5"/>
  <c r="N11" i="5"/>
  <c r="M12" i="5"/>
  <c r="N12" i="5"/>
  <c r="M13" i="5"/>
  <c r="N13" i="5"/>
  <c r="M14" i="5"/>
  <c r="N14" i="5"/>
  <c r="M15" i="5"/>
  <c r="N15" i="5"/>
  <c r="M16" i="5"/>
  <c r="N16" i="5"/>
  <c r="M17" i="5"/>
  <c r="N17" i="5"/>
  <c r="M18" i="5"/>
  <c r="N18" i="5"/>
  <c r="M19" i="5"/>
  <c r="N19" i="5"/>
  <c r="M20" i="5"/>
  <c r="N20" i="5"/>
  <c r="M21" i="5"/>
  <c r="N21" i="5"/>
  <c r="M22" i="5"/>
  <c r="M23" i="5"/>
  <c r="M24" i="5"/>
  <c r="N24" i="5"/>
  <c r="M25" i="5"/>
  <c r="N25" i="5"/>
  <c r="M26" i="5"/>
  <c r="N26" i="5"/>
  <c r="N27" i="5"/>
  <c r="N28" i="5"/>
  <c r="M29" i="5"/>
  <c r="N29" i="5"/>
  <c r="M30" i="5"/>
  <c r="N30" i="5"/>
  <c r="M31" i="5"/>
  <c r="N31" i="5"/>
  <c r="M32" i="5"/>
  <c r="N32" i="5"/>
  <c r="M33" i="5"/>
  <c r="M34" i="5"/>
  <c r="N34" i="5"/>
  <c r="M35" i="5"/>
  <c r="N35" i="5"/>
  <c r="N5" i="5"/>
  <c r="M5" i="5"/>
  <c r="J10" i="5"/>
  <c r="K10" i="5" s="1"/>
  <c r="J18" i="5"/>
  <c r="K18" i="5" s="1"/>
  <c r="G7" i="4"/>
  <c r="H7" i="4" s="1"/>
  <c r="P7" i="4" s="1"/>
  <c r="G4" i="4"/>
  <c r="H4" i="4" s="1"/>
  <c r="P4" i="4" s="1"/>
  <c r="H3" i="4"/>
  <c r="H5" i="4"/>
  <c r="J5" i="4" s="1"/>
  <c r="H6" i="4"/>
  <c r="H8" i="4"/>
  <c r="H9" i="4"/>
  <c r="H10" i="4"/>
  <c r="J10" i="4" s="1"/>
  <c r="H11" i="4"/>
  <c r="P11" i="4" s="1"/>
  <c r="H12" i="4"/>
  <c r="J12" i="4" s="1"/>
  <c r="H13" i="4"/>
  <c r="H14" i="4"/>
  <c r="H15" i="4"/>
  <c r="P15" i="4" s="1"/>
  <c r="H16" i="4"/>
  <c r="H17" i="4"/>
  <c r="H18" i="4"/>
  <c r="I18" i="4" s="1"/>
  <c r="H19" i="4"/>
  <c r="P19" i="4" s="1"/>
  <c r="H22" i="4"/>
  <c r="P22" i="4" s="1"/>
  <c r="H23" i="4"/>
  <c r="H24" i="4"/>
  <c r="J24" i="4" s="1"/>
  <c r="H25" i="4"/>
  <c r="H21" i="4"/>
  <c r="F27" i="4"/>
  <c r="N32" i="2"/>
  <c r="O32" i="2" s="1"/>
  <c r="N33" i="2"/>
  <c r="O33" i="2" s="1"/>
  <c r="K9" i="13" s="1"/>
  <c r="N34" i="2"/>
  <c r="O34" i="2" s="1"/>
  <c r="K10" i="13" s="1"/>
  <c r="N35" i="2"/>
  <c r="O35" i="2" s="1"/>
  <c r="K11" i="13" s="1"/>
  <c r="N36" i="2"/>
  <c r="O36" i="2" s="1"/>
  <c r="K12" i="13" s="1"/>
  <c r="E124" i="13" s="1"/>
  <c r="F124" i="13" s="1"/>
  <c r="N37" i="2"/>
  <c r="O37" i="2" s="1"/>
  <c r="K13" i="13" s="1"/>
  <c r="N38" i="2"/>
  <c r="O38" i="2" s="1"/>
  <c r="K14" i="13" s="1"/>
  <c r="N39" i="2"/>
  <c r="O39" i="2" s="1"/>
  <c r="N40" i="2"/>
  <c r="O40" i="2" s="1"/>
  <c r="K16" i="13" s="1"/>
  <c r="N41" i="2"/>
  <c r="O41" i="2" s="1"/>
  <c r="N31" i="2"/>
  <c r="O31" i="2" s="1"/>
  <c r="K7" i="13" s="1"/>
  <c r="K32" i="2"/>
  <c r="L32" i="2" s="1"/>
  <c r="K33" i="2"/>
  <c r="L33" i="2" s="1"/>
  <c r="K34" i="2"/>
  <c r="L34" i="2" s="1"/>
  <c r="K35" i="2"/>
  <c r="L35" i="2" s="1"/>
  <c r="K36" i="2"/>
  <c r="L36" i="2" s="1"/>
  <c r="K37" i="2"/>
  <c r="L37" i="2" s="1"/>
  <c r="K38" i="2"/>
  <c r="L38" i="2" s="1"/>
  <c r="K39" i="2"/>
  <c r="L39" i="2" s="1"/>
  <c r="K40" i="2"/>
  <c r="L40" i="2" s="1"/>
  <c r="K41" i="2"/>
  <c r="L41" i="2" s="1"/>
  <c r="K31" i="2"/>
  <c r="H32" i="2"/>
  <c r="I32" i="2" s="1"/>
  <c r="G8" i="13" s="1"/>
  <c r="H33" i="2"/>
  <c r="I33" i="2" s="1"/>
  <c r="G9" i="13" s="1"/>
  <c r="H34" i="2"/>
  <c r="I34" i="2" s="1"/>
  <c r="G10" i="13" s="1"/>
  <c r="H35" i="2"/>
  <c r="I35" i="2" s="1"/>
  <c r="G11" i="13" s="1"/>
  <c r="H36" i="2"/>
  <c r="I36" i="2" s="1"/>
  <c r="G12" i="13" s="1"/>
  <c r="E121" i="13" s="1"/>
  <c r="F121" i="13" s="1"/>
  <c r="H37" i="2"/>
  <c r="I37" i="2" s="1"/>
  <c r="G13" i="13" s="1"/>
  <c r="H38" i="2"/>
  <c r="I38" i="2" s="1"/>
  <c r="G14" i="13" s="1"/>
  <c r="H39" i="2"/>
  <c r="I39" i="2" s="1"/>
  <c r="G15" i="13" s="1"/>
  <c r="H40" i="2"/>
  <c r="I40" i="2" s="1"/>
  <c r="G16" i="13" s="1"/>
  <c r="H41" i="2"/>
  <c r="I41" i="2" s="1"/>
  <c r="H31" i="2"/>
  <c r="E32" i="2"/>
  <c r="F32" i="2" s="1"/>
  <c r="E33" i="2"/>
  <c r="F33" i="2" s="1"/>
  <c r="E34" i="2"/>
  <c r="F34" i="2" s="1"/>
  <c r="I10" i="13" s="1"/>
  <c r="E35" i="2"/>
  <c r="F35" i="2" s="1"/>
  <c r="I11" i="13" s="1"/>
  <c r="E36" i="2"/>
  <c r="F36" i="2" s="1"/>
  <c r="I12" i="13" s="1"/>
  <c r="E37" i="2"/>
  <c r="F37" i="2" s="1"/>
  <c r="I13" i="13" s="1"/>
  <c r="E38" i="2"/>
  <c r="F38" i="2" s="1"/>
  <c r="E39" i="2"/>
  <c r="F39" i="2" s="1"/>
  <c r="I15" i="13" s="1"/>
  <c r="E40" i="2"/>
  <c r="F40" i="2" s="1"/>
  <c r="I16" i="13" s="1"/>
  <c r="E41" i="2"/>
  <c r="F41" i="2" s="1"/>
  <c r="I17" i="13" s="1"/>
  <c r="AI17" i="13" s="1"/>
  <c r="AH102" i="13" s="1"/>
  <c r="E31" i="2"/>
  <c r="F31" i="2" s="1"/>
  <c r="I7" i="13" s="1"/>
  <c r="I31" i="2"/>
  <c r="G7" i="13" s="1"/>
  <c r="L31" i="2"/>
  <c r="B66" i="2"/>
  <c r="B65" i="2"/>
  <c r="B64" i="2"/>
  <c r="B63" i="2"/>
  <c r="B62" i="2"/>
  <c r="B61" i="2"/>
  <c r="B60" i="2"/>
  <c r="B59" i="2"/>
  <c r="B58" i="2"/>
  <c r="B57" i="2"/>
  <c r="B56" i="2"/>
  <c r="D49" i="2"/>
  <c r="C49" i="2"/>
  <c r="F49" i="2"/>
  <c r="H63" i="2" s="1"/>
  <c r="I63" i="2" s="1"/>
  <c r="G49" i="2"/>
  <c r="K58" i="2" s="1"/>
  <c r="L58" i="2" s="1"/>
  <c r="H49" i="2"/>
  <c r="M58" i="2" s="1"/>
  <c r="I49" i="2"/>
  <c r="N66" i="2" s="1"/>
  <c r="J49" i="2"/>
  <c r="O59" i="2" s="1"/>
  <c r="K49" i="2"/>
  <c r="P58" i="2" s="1"/>
  <c r="E49" i="2"/>
  <c r="E65" i="2" s="1"/>
  <c r="F65" i="2" s="1"/>
  <c r="B41" i="2"/>
  <c r="B40" i="2"/>
  <c r="B39" i="2"/>
  <c r="B38" i="2"/>
  <c r="B37" i="2"/>
  <c r="B36" i="2"/>
  <c r="B35" i="2"/>
  <c r="B34" i="2"/>
  <c r="B33" i="2"/>
  <c r="B32" i="2"/>
  <c r="B31" i="2"/>
  <c r="N17" i="2"/>
  <c r="O17" i="2" s="1"/>
  <c r="N18" i="2"/>
  <c r="O18" i="2" s="1"/>
  <c r="N19" i="2"/>
  <c r="O19" i="2" s="1"/>
  <c r="N20" i="2"/>
  <c r="O20" i="2" s="1"/>
  <c r="N21" i="2"/>
  <c r="O21" i="2" s="1"/>
  <c r="N22" i="2"/>
  <c r="O22" i="2" s="1"/>
  <c r="N23" i="2"/>
  <c r="O23" i="2" s="1"/>
  <c r="N24" i="2"/>
  <c r="O24" i="2" s="1"/>
  <c r="N25" i="2"/>
  <c r="O25" i="2" s="1"/>
  <c r="N26" i="2"/>
  <c r="O26" i="2" s="1"/>
  <c r="K17" i="2"/>
  <c r="L17" i="2" s="1"/>
  <c r="K18" i="2"/>
  <c r="L18" i="2" s="1"/>
  <c r="K19" i="2"/>
  <c r="L19" i="2" s="1"/>
  <c r="K20" i="2"/>
  <c r="L20" i="2" s="1"/>
  <c r="K21" i="2"/>
  <c r="L21" i="2" s="1"/>
  <c r="K22" i="2"/>
  <c r="L22" i="2" s="1"/>
  <c r="K23" i="2"/>
  <c r="L23" i="2" s="1"/>
  <c r="K24" i="2"/>
  <c r="L24" i="2" s="1"/>
  <c r="K25" i="2"/>
  <c r="L25" i="2" s="1"/>
  <c r="K26" i="2"/>
  <c r="L26" i="2" s="1"/>
  <c r="K16" i="2"/>
  <c r="L16" i="2" s="1"/>
  <c r="E17" i="2"/>
  <c r="F17" i="2" s="1"/>
  <c r="E18" i="2"/>
  <c r="F18" i="2" s="1"/>
  <c r="E19" i="2"/>
  <c r="F19" i="2" s="1"/>
  <c r="E20" i="2"/>
  <c r="F20" i="2" s="1"/>
  <c r="E21" i="2"/>
  <c r="F21" i="2" s="1"/>
  <c r="E22" i="2"/>
  <c r="F22" i="2" s="1"/>
  <c r="E23" i="2"/>
  <c r="F23" i="2" s="1"/>
  <c r="E24" i="2"/>
  <c r="F24" i="2" s="1"/>
  <c r="E25" i="2"/>
  <c r="F25" i="2" s="1"/>
  <c r="E26" i="2"/>
  <c r="F26" i="2" s="1"/>
  <c r="E16" i="2"/>
  <c r="F16" i="2" s="1"/>
  <c r="H16" i="2"/>
  <c r="I16" i="2" s="1"/>
  <c r="N16" i="2"/>
  <c r="O16" i="2" s="1"/>
  <c r="H17" i="2"/>
  <c r="I17" i="2" s="1"/>
  <c r="H18" i="2"/>
  <c r="I18" i="2" s="1"/>
  <c r="H19" i="2"/>
  <c r="I19" i="2" s="1"/>
  <c r="H20" i="2"/>
  <c r="I20" i="2" s="1"/>
  <c r="H21" i="2"/>
  <c r="I21" i="2" s="1"/>
  <c r="H22" i="2"/>
  <c r="I22" i="2" s="1"/>
  <c r="H23" i="2"/>
  <c r="I23" i="2" s="1"/>
  <c r="H24" i="2"/>
  <c r="I24" i="2" s="1"/>
  <c r="H25" i="2"/>
  <c r="I25" i="2" s="1"/>
  <c r="H26" i="2"/>
  <c r="I26" i="2" s="1"/>
  <c r="B26" i="2"/>
  <c r="B25" i="2"/>
  <c r="B24" i="2"/>
  <c r="B23" i="2"/>
  <c r="B22" i="2"/>
  <c r="B21" i="2"/>
  <c r="B20" i="2"/>
  <c r="B19" i="2"/>
  <c r="B18" i="2"/>
  <c r="B17" i="2"/>
  <c r="B16" i="2"/>
  <c r="B9" i="3"/>
  <c r="B10" i="3"/>
  <c r="B11" i="3"/>
  <c r="B12" i="3"/>
  <c r="B13" i="3"/>
  <c r="B14" i="3"/>
  <c r="B15" i="3"/>
  <c r="B16" i="3"/>
  <c r="B17" i="3"/>
  <c r="B18" i="3"/>
  <c r="B8" i="3"/>
  <c r="H8" i="3"/>
  <c r="I8" i="3" s="1"/>
  <c r="K8" i="3"/>
  <c r="L8" i="3" s="1"/>
  <c r="N8" i="3"/>
  <c r="O8" i="3" s="1"/>
  <c r="H9" i="3"/>
  <c r="I9" i="3" s="1"/>
  <c r="K9" i="3"/>
  <c r="L9" i="3" s="1"/>
  <c r="N9" i="3"/>
  <c r="O9" i="3" s="1"/>
  <c r="H10" i="3"/>
  <c r="I10" i="3" s="1"/>
  <c r="K10" i="3"/>
  <c r="L10" i="3" s="1"/>
  <c r="N10" i="3"/>
  <c r="O10" i="3" s="1"/>
  <c r="H11" i="3"/>
  <c r="I11" i="3" s="1"/>
  <c r="K11" i="3"/>
  <c r="L11" i="3" s="1"/>
  <c r="N11" i="3"/>
  <c r="O11" i="3" s="1"/>
  <c r="H12" i="3"/>
  <c r="I12" i="3" s="1"/>
  <c r="K12" i="3"/>
  <c r="L12" i="3" s="1"/>
  <c r="N12" i="3"/>
  <c r="O12" i="3" s="1"/>
  <c r="H13" i="3"/>
  <c r="I13" i="3" s="1"/>
  <c r="K13" i="3"/>
  <c r="L13" i="3" s="1"/>
  <c r="N13" i="3"/>
  <c r="O13" i="3" s="1"/>
  <c r="H14" i="3"/>
  <c r="I14" i="3" s="1"/>
  <c r="K14" i="3"/>
  <c r="L14" i="3" s="1"/>
  <c r="N14" i="3"/>
  <c r="O14" i="3" s="1"/>
  <c r="H15" i="3"/>
  <c r="I15" i="3" s="1"/>
  <c r="K15" i="3"/>
  <c r="L15" i="3" s="1"/>
  <c r="N15" i="3"/>
  <c r="O15" i="3"/>
  <c r="H16" i="3"/>
  <c r="I16" i="3" s="1"/>
  <c r="K16" i="3"/>
  <c r="L16" i="3" s="1"/>
  <c r="N16" i="3"/>
  <c r="O16" i="3" s="1"/>
  <c r="H17" i="3"/>
  <c r="I17" i="3"/>
  <c r="K17" i="3"/>
  <c r="L17" i="3" s="1"/>
  <c r="N17" i="3"/>
  <c r="O17" i="3"/>
  <c r="H18" i="3"/>
  <c r="I18" i="3" s="1"/>
  <c r="K18" i="3"/>
  <c r="L18" i="3" s="1"/>
  <c r="N18" i="3"/>
  <c r="O18" i="3" s="1"/>
  <c r="O62" i="2"/>
  <c r="K23" i="5"/>
  <c r="L31" i="5"/>
  <c r="O31" i="5" s="1"/>
  <c r="Q31" i="5" s="1"/>
  <c r="S31" i="5" s="1"/>
  <c r="L9" i="5"/>
  <c r="I21" i="4"/>
  <c r="I25" i="4"/>
  <c r="I24" i="4"/>
  <c r="I19" i="4"/>
  <c r="I15" i="4"/>
  <c r="I12" i="4"/>
  <c r="K12" i="4" s="1"/>
  <c r="L12" i="4" s="1"/>
  <c r="I11" i="4"/>
  <c r="I7" i="4"/>
  <c r="I6" i="4"/>
  <c r="J25" i="4"/>
  <c r="J19" i="4"/>
  <c r="J15" i="4"/>
  <c r="J11" i="4"/>
  <c r="K21" i="6"/>
  <c r="D22" i="21" s="1"/>
  <c r="P17" i="2" l="1"/>
  <c r="E12" i="10" s="1"/>
  <c r="J23" i="4"/>
  <c r="P23" i="4"/>
  <c r="P21" i="4"/>
  <c r="H26" i="4"/>
  <c r="P26" i="4" s="1"/>
  <c r="J18" i="4"/>
  <c r="K18" i="4" s="1"/>
  <c r="P18" i="4"/>
  <c r="J17" i="4"/>
  <c r="P17" i="4"/>
  <c r="J16" i="4"/>
  <c r="P16" i="4"/>
  <c r="J14" i="4"/>
  <c r="P14" i="4"/>
  <c r="J13" i="4"/>
  <c r="P13" i="4"/>
  <c r="J9" i="4"/>
  <c r="P9" i="4"/>
  <c r="J8" i="4"/>
  <c r="P8" i="4"/>
  <c r="J6" i="4"/>
  <c r="K6" i="4" s="1"/>
  <c r="P6" i="4"/>
  <c r="H20" i="4"/>
  <c r="P20" i="4" s="1"/>
  <c r="P3" i="4"/>
  <c r="G17" i="13"/>
  <c r="F102" i="13" s="1"/>
  <c r="N57" i="2"/>
  <c r="N65" i="2"/>
  <c r="N63" i="2"/>
  <c r="N59" i="2"/>
  <c r="N61" i="2"/>
  <c r="N62" i="2"/>
  <c r="N60" i="2"/>
  <c r="F54" i="7"/>
  <c r="J17" i="6"/>
  <c r="C18" i="21" s="1"/>
  <c r="O9" i="5"/>
  <c r="P9" i="5" s="1"/>
  <c r="K32" i="5"/>
  <c r="L32" i="5"/>
  <c r="K14" i="5"/>
  <c r="L14" i="5"/>
  <c r="L25" i="5"/>
  <c r="O25" i="5" s="1"/>
  <c r="Q25" i="5" s="1"/>
  <c r="S25" i="5" s="1"/>
  <c r="K25" i="5"/>
  <c r="K11" i="5"/>
  <c r="O11" i="5" s="1"/>
  <c r="L18" i="5"/>
  <c r="O18" i="5" s="1"/>
  <c r="O22" i="5"/>
  <c r="Q22" i="5" s="1"/>
  <c r="O23" i="5"/>
  <c r="E14" i="8"/>
  <c r="L29" i="5"/>
  <c r="K29" i="5"/>
  <c r="L13" i="5"/>
  <c r="O13" i="5" s="1"/>
  <c r="L17" i="5"/>
  <c r="O17" i="5" s="1"/>
  <c r="Q17" i="5" s="1"/>
  <c r="S17" i="5" s="1"/>
  <c r="T17" i="5" s="1"/>
  <c r="K7" i="5"/>
  <c r="O7" i="5" s="1"/>
  <c r="L35" i="5"/>
  <c r="O35" i="5" s="1"/>
  <c r="L24" i="5"/>
  <c r="O24" i="5" s="1"/>
  <c r="L27" i="5"/>
  <c r="O27" i="5" s="1"/>
  <c r="K19" i="5"/>
  <c r="O19" i="5" s="1"/>
  <c r="L6" i="5"/>
  <c r="O6" i="5" s="1"/>
  <c r="L28" i="5"/>
  <c r="O28" i="5" s="1"/>
  <c r="E7" i="8"/>
  <c r="K65" i="2"/>
  <c r="L65" i="2" s="1"/>
  <c r="N58" i="2"/>
  <c r="O57" i="2"/>
  <c r="K61" i="2"/>
  <c r="L61" i="2" s="1"/>
  <c r="K64" i="2"/>
  <c r="L64" i="2" s="1"/>
  <c r="P59" i="2"/>
  <c r="H61" i="2"/>
  <c r="I61" i="2" s="1"/>
  <c r="K60" i="2"/>
  <c r="L60" i="2" s="1"/>
  <c r="P66" i="2"/>
  <c r="N64" i="2"/>
  <c r="H62" i="2"/>
  <c r="I62" i="2" s="1"/>
  <c r="K59" i="2"/>
  <c r="L59" i="2" s="1"/>
  <c r="P65" i="2"/>
  <c r="P64" i="2"/>
  <c r="K66" i="2"/>
  <c r="L66" i="2" s="1"/>
  <c r="P60" i="2"/>
  <c r="P61" i="2"/>
  <c r="H60" i="2"/>
  <c r="I60" i="2" s="1"/>
  <c r="F100" i="13"/>
  <c r="AG15" i="13"/>
  <c r="AF100" i="13" s="1"/>
  <c r="I97" i="13"/>
  <c r="AK12" i="13"/>
  <c r="AI97" i="13" s="1"/>
  <c r="AE125" i="13" s="1"/>
  <c r="H100" i="13"/>
  <c r="AI15" i="13"/>
  <c r="AH100" i="13" s="1"/>
  <c r="H92" i="13"/>
  <c r="AI7" i="13"/>
  <c r="H95" i="13"/>
  <c r="AI10" i="13"/>
  <c r="AH95" i="13" s="1"/>
  <c r="F98" i="13"/>
  <c r="AG13" i="13"/>
  <c r="AF98" i="13" s="1"/>
  <c r="F94" i="13"/>
  <c r="AG9" i="13"/>
  <c r="AF94" i="13" s="1"/>
  <c r="I96" i="13"/>
  <c r="AK11" i="13"/>
  <c r="AI96" i="13" s="1"/>
  <c r="F95" i="13"/>
  <c r="AG10" i="13"/>
  <c r="AF95" i="13" s="1"/>
  <c r="F99" i="13"/>
  <c r="AG14" i="13"/>
  <c r="AF99" i="13" s="1"/>
  <c r="F96" i="13"/>
  <c r="AG11" i="13"/>
  <c r="AF96" i="13" s="1"/>
  <c r="H98" i="13"/>
  <c r="AI13" i="13"/>
  <c r="AH98" i="13" s="1"/>
  <c r="F101" i="13"/>
  <c r="AG16" i="13"/>
  <c r="AF101" i="13" s="1"/>
  <c r="F97" i="13"/>
  <c r="AG12" i="13"/>
  <c r="AF97" i="13" s="1"/>
  <c r="AE122" i="13" s="1"/>
  <c r="AF122" i="13" s="1"/>
  <c r="D197" i="21" s="1"/>
  <c r="F93" i="13"/>
  <c r="AG8" i="13"/>
  <c r="AF93" i="13" s="1"/>
  <c r="I92" i="13"/>
  <c r="AK7" i="13"/>
  <c r="I99" i="13"/>
  <c r="AK14" i="13"/>
  <c r="AI99" i="13" s="1"/>
  <c r="I95" i="13"/>
  <c r="AK10" i="13"/>
  <c r="AI95" i="13" s="1"/>
  <c r="F92" i="13"/>
  <c r="AG7" i="13"/>
  <c r="I101" i="13"/>
  <c r="AK16" i="13"/>
  <c r="AI101" i="13" s="1"/>
  <c r="I98" i="13"/>
  <c r="AK13" i="13"/>
  <c r="AI98" i="13" s="1"/>
  <c r="H96" i="13"/>
  <c r="AI11" i="13"/>
  <c r="AH96" i="13" s="1"/>
  <c r="H101" i="13"/>
  <c r="AI16" i="13"/>
  <c r="AH101" i="13" s="1"/>
  <c r="H97" i="13"/>
  <c r="AI12" i="13"/>
  <c r="AH97" i="13" s="1"/>
  <c r="I94" i="13"/>
  <c r="AK9" i="13"/>
  <c r="AI94" i="13" s="1"/>
  <c r="O90" i="11"/>
  <c r="O193" i="11" s="1"/>
  <c r="E112" i="6"/>
  <c r="L112" i="6" s="1"/>
  <c r="L33" i="21" s="1"/>
  <c r="L30" i="6"/>
  <c r="E31" i="21" s="1"/>
  <c r="O88" i="11"/>
  <c r="O191" i="11" s="1"/>
  <c r="E110" i="6"/>
  <c r="O92" i="11"/>
  <c r="O195" i="11" s="1"/>
  <c r="E114" i="6"/>
  <c r="L114" i="6" s="1"/>
  <c r="L35" i="21" s="1"/>
  <c r="O89" i="11"/>
  <c r="O192" i="11" s="1"/>
  <c r="E111" i="6"/>
  <c r="L111" i="6" s="1"/>
  <c r="L32" i="21" s="1"/>
  <c r="O79" i="11"/>
  <c r="O180" i="11" s="1"/>
  <c r="K100" i="6"/>
  <c r="K21" i="21" s="1"/>
  <c r="K20" i="6"/>
  <c r="D21" i="21" s="1"/>
  <c r="O81" i="11"/>
  <c r="O182" i="11" s="1"/>
  <c r="K102" i="6"/>
  <c r="K23" i="21" s="1"/>
  <c r="K22" i="6"/>
  <c r="D23" i="21" s="1"/>
  <c r="O83" i="11"/>
  <c r="O184" i="11" s="1"/>
  <c r="K104" i="6"/>
  <c r="K25" i="21" s="1"/>
  <c r="O95" i="11"/>
  <c r="O198" i="11" s="1"/>
  <c r="D116" i="6"/>
  <c r="C16" i="8"/>
  <c r="O78" i="11"/>
  <c r="O179" i="11" s="1"/>
  <c r="D99" i="6"/>
  <c r="K99" i="6" s="1"/>
  <c r="K20" i="21" s="1"/>
  <c r="D23" i="6"/>
  <c r="D35" i="6" s="1"/>
  <c r="K35" i="6" s="1"/>
  <c r="D36" i="21" s="1"/>
  <c r="K34" i="6"/>
  <c r="D35" i="21" s="1"/>
  <c r="G35" i="21" s="1"/>
  <c r="O86" i="11"/>
  <c r="O187" i="11" s="1"/>
  <c r="K107" i="6"/>
  <c r="K28" i="21" s="1"/>
  <c r="G34" i="6"/>
  <c r="R10" i="6" s="1"/>
  <c r="O84" i="11"/>
  <c r="O185" i="11" s="1"/>
  <c r="K105" i="6"/>
  <c r="K26" i="21" s="1"/>
  <c r="O80" i="11"/>
  <c r="O181" i="11" s="1"/>
  <c r="K101" i="6"/>
  <c r="K22" i="21" s="1"/>
  <c r="E95" i="7"/>
  <c r="E9" i="8"/>
  <c r="J15" i="6"/>
  <c r="C16" i="21" s="1"/>
  <c r="O66" i="11"/>
  <c r="O167" i="11" s="1"/>
  <c r="C91" i="6"/>
  <c r="J91" i="6" s="1"/>
  <c r="J12" i="21" s="1"/>
  <c r="O62" i="11"/>
  <c r="O163" i="11" s="1"/>
  <c r="C86" i="6"/>
  <c r="O72" i="11"/>
  <c r="O173" i="11" s="1"/>
  <c r="C96" i="6"/>
  <c r="J96" i="6" s="1"/>
  <c r="J17" i="21" s="1"/>
  <c r="O65" i="11"/>
  <c r="O166" i="11" s="1"/>
  <c r="C90" i="6"/>
  <c r="J90" i="6" s="1"/>
  <c r="J11" i="21" s="1"/>
  <c r="O69" i="11"/>
  <c r="O170" i="11" s="1"/>
  <c r="C94" i="6"/>
  <c r="J94" i="6" s="1"/>
  <c r="J15" i="21" s="1"/>
  <c r="E60" i="2"/>
  <c r="F60" i="2" s="1"/>
  <c r="J16" i="6"/>
  <c r="C17" i="21" s="1"/>
  <c r="K19" i="6"/>
  <c r="J13" i="6"/>
  <c r="C14" i="21" s="1"/>
  <c r="L32" i="6"/>
  <c r="E33" i="21" s="1"/>
  <c r="O76" i="11"/>
  <c r="O177" i="11" s="1"/>
  <c r="O75" i="11"/>
  <c r="O176" i="11" s="1"/>
  <c r="J9" i="6"/>
  <c r="C10" i="21" s="1"/>
  <c r="O64" i="11"/>
  <c r="O165" i="11" s="1"/>
  <c r="O71" i="11"/>
  <c r="O172" i="11" s="1"/>
  <c r="O70" i="11"/>
  <c r="O171" i="11" s="1"/>
  <c r="J7" i="6"/>
  <c r="C8" i="21" s="1"/>
  <c r="O63" i="11"/>
  <c r="O164" i="11" s="1"/>
  <c r="J12" i="6"/>
  <c r="C13" i="21" s="1"/>
  <c r="O67" i="11"/>
  <c r="O168" i="11" s="1"/>
  <c r="AB68" i="11"/>
  <c r="AB169" i="11" s="1"/>
  <c r="Q68" i="11"/>
  <c r="Q169" i="11" s="1"/>
  <c r="W68" i="11"/>
  <c r="W169" i="11" s="1"/>
  <c r="P68" i="11"/>
  <c r="P169" i="11" s="1"/>
  <c r="Z68" i="11"/>
  <c r="Z169" i="11" s="1"/>
  <c r="V68" i="11"/>
  <c r="V169" i="11" s="1"/>
  <c r="X68" i="11"/>
  <c r="X169" i="11" s="1"/>
  <c r="R68" i="11"/>
  <c r="R169" i="11" s="1"/>
  <c r="U68" i="11"/>
  <c r="U169" i="11" s="1"/>
  <c r="T68" i="11"/>
  <c r="T169" i="11" s="1"/>
  <c r="S68" i="11"/>
  <c r="S169" i="11" s="1"/>
  <c r="Y68" i="11"/>
  <c r="Y169" i="11" s="1"/>
  <c r="O74" i="11"/>
  <c r="O175" i="11" s="1"/>
  <c r="O73" i="11"/>
  <c r="O174" i="11" s="1"/>
  <c r="H102" i="13"/>
  <c r="L31" i="6"/>
  <c r="E32" i="21" s="1"/>
  <c r="O91" i="11"/>
  <c r="O194" i="11" s="1"/>
  <c r="L33" i="6"/>
  <c r="E34" i="21" s="1"/>
  <c r="O93" i="11"/>
  <c r="O196" i="11" s="1"/>
  <c r="K11" i="4"/>
  <c r="L11" i="4" s="1"/>
  <c r="I3" i="4"/>
  <c r="K19" i="4"/>
  <c r="L19" i="4" s="1"/>
  <c r="J21" i="4"/>
  <c r="J22" i="4"/>
  <c r="I8" i="4"/>
  <c r="K8" i="4" s="1"/>
  <c r="I16" i="4"/>
  <c r="K16" i="4" s="1"/>
  <c r="K25" i="4"/>
  <c r="L25" i="4" s="1"/>
  <c r="H58" i="2"/>
  <c r="I58" i="2" s="1"/>
  <c r="H57" i="2"/>
  <c r="I57" i="2" s="1"/>
  <c r="H59" i="2"/>
  <c r="I59" i="2" s="1"/>
  <c r="O58" i="2"/>
  <c r="H65" i="2"/>
  <c r="I65" i="2" s="1"/>
  <c r="H56" i="2"/>
  <c r="I56" i="2" s="1"/>
  <c r="H66" i="2"/>
  <c r="I66" i="2" s="1"/>
  <c r="O64" i="2"/>
  <c r="O61" i="2"/>
  <c r="O63" i="2"/>
  <c r="O65" i="2"/>
  <c r="H64" i="2"/>
  <c r="I64" i="2" s="1"/>
  <c r="O60" i="2"/>
  <c r="O66" i="2"/>
  <c r="L27" i="2"/>
  <c r="P33" i="2"/>
  <c r="E9" i="13" s="1"/>
  <c r="I9" i="13"/>
  <c r="I8" i="13"/>
  <c r="F42" i="2"/>
  <c r="P19" i="2"/>
  <c r="D10" i="13" s="1"/>
  <c r="P24" i="2"/>
  <c r="D15" i="13" s="1"/>
  <c r="P41" i="2"/>
  <c r="E17" i="13" s="1"/>
  <c r="K17" i="13"/>
  <c r="AK17" i="13" s="1"/>
  <c r="AI102" i="13" s="1"/>
  <c r="K56" i="2"/>
  <c r="L56" i="2" s="1"/>
  <c r="K62" i="2"/>
  <c r="L62" i="2" s="1"/>
  <c r="K57" i="2"/>
  <c r="L57" i="2" s="1"/>
  <c r="P57" i="2"/>
  <c r="P62" i="2"/>
  <c r="P32" i="2"/>
  <c r="E8" i="13" s="1"/>
  <c r="K8" i="13"/>
  <c r="I27" i="2"/>
  <c r="O27" i="2"/>
  <c r="P38" i="2"/>
  <c r="E14" i="13" s="1"/>
  <c r="I14" i="13"/>
  <c r="P35" i="2"/>
  <c r="E11" i="13" s="1"/>
  <c r="K63" i="2"/>
  <c r="L63" i="2" s="1"/>
  <c r="P63" i="2"/>
  <c r="P26" i="2"/>
  <c r="D17" i="13" s="1"/>
  <c r="AD17" i="13" s="1"/>
  <c r="P18" i="2"/>
  <c r="D9" i="13" s="1"/>
  <c r="P39" i="2"/>
  <c r="E15" i="13" s="1"/>
  <c r="K15" i="13"/>
  <c r="O42" i="2"/>
  <c r="P36" i="2"/>
  <c r="E12" i="13" s="1"/>
  <c r="J4" i="4"/>
  <c r="I4" i="4"/>
  <c r="K4" i="4" s="1"/>
  <c r="O12" i="4"/>
  <c r="I14" i="4"/>
  <c r="K14" i="4" s="1"/>
  <c r="N12" i="4"/>
  <c r="I5" i="4"/>
  <c r="K5" i="4" s="1"/>
  <c r="I10" i="4"/>
  <c r="K10" i="4" s="1"/>
  <c r="K15" i="4"/>
  <c r="N15" i="4" s="1"/>
  <c r="I23" i="4"/>
  <c r="K23" i="4" s="1"/>
  <c r="J7" i="4"/>
  <c r="K7" i="4" s="1"/>
  <c r="L7" i="4" s="1"/>
  <c r="K24" i="4"/>
  <c r="M12" i="4"/>
  <c r="O25" i="4"/>
  <c r="N24" i="4"/>
  <c r="I9" i="4"/>
  <c r="K9" i="4" s="1"/>
  <c r="I13" i="4"/>
  <c r="K13" i="4" s="1"/>
  <c r="I17" i="4"/>
  <c r="K17" i="4" s="1"/>
  <c r="N17" i="4" s="1"/>
  <c r="I22" i="4"/>
  <c r="I26" i="4" s="1"/>
  <c r="J3" i="4"/>
  <c r="L34" i="5"/>
  <c r="K34" i="5"/>
  <c r="L12" i="5"/>
  <c r="K12" i="5"/>
  <c r="L16" i="5"/>
  <c r="K16" i="5"/>
  <c r="L8" i="5"/>
  <c r="K8" i="5"/>
  <c r="K15" i="5"/>
  <c r="O15" i="5" s="1"/>
  <c r="P31" i="5"/>
  <c r="K26" i="5"/>
  <c r="O26" i="5" s="1"/>
  <c r="P22" i="5"/>
  <c r="K20" i="5"/>
  <c r="O20" i="5" s="1"/>
  <c r="L10" i="5"/>
  <c r="O10" i="5" s="1"/>
  <c r="K30" i="5"/>
  <c r="O30" i="5" s="1"/>
  <c r="I21" i="5"/>
  <c r="E48" i="5"/>
  <c r="O32" i="5"/>
  <c r="K46" i="5"/>
  <c r="M46" i="5" s="1"/>
  <c r="L5" i="5"/>
  <c r="K5" i="5"/>
  <c r="L33" i="5"/>
  <c r="O33" i="5" s="1"/>
  <c r="H22" i="5"/>
  <c r="H36" i="5" s="1"/>
  <c r="F50" i="5" s="1"/>
  <c r="C8" i="6"/>
  <c r="C88" i="6" s="1"/>
  <c r="J88" i="6" s="1"/>
  <c r="J9" i="21" s="1"/>
  <c r="E10" i="8"/>
  <c r="E12" i="8"/>
  <c r="E8" i="8"/>
  <c r="C4" i="8"/>
  <c r="C3" i="8" s="1"/>
  <c r="F5" i="6"/>
  <c r="Q23" i="5"/>
  <c r="S23" i="5" s="1"/>
  <c r="P23" i="5"/>
  <c r="K44" i="5"/>
  <c r="M44" i="5" s="1"/>
  <c r="N25" i="4"/>
  <c r="M11" i="4"/>
  <c r="L19" i="3"/>
  <c r="I19" i="3"/>
  <c r="I42" i="2"/>
  <c r="O11" i="4"/>
  <c r="T31" i="5"/>
  <c r="L42" i="2"/>
  <c r="K45" i="5"/>
  <c r="M45" i="5" s="1"/>
  <c r="M19" i="4"/>
  <c r="N19" i="4"/>
  <c r="M25" i="4"/>
  <c r="N11" i="4"/>
  <c r="O19" i="4"/>
  <c r="F27" i="2"/>
  <c r="E9" i="3"/>
  <c r="F9" i="3" s="1"/>
  <c r="P9" i="3" s="1"/>
  <c r="E8" i="3"/>
  <c r="F8" i="3" s="1"/>
  <c r="E11" i="3"/>
  <c r="F11" i="3" s="1"/>
  <c r="P11" i="3" s="1"/>
  <c r="E12" i="3"/>
  <c r="F12" i="3" s="1"/>
  <c r="P12" i="3" s="1"/>
  <c r="E13" i="3"/>
  <c r="F13" i="3" s="1"/>
  <c r="P13" i="3" s="1"/>
  <c r="E14" i="3"/>
  <c r="F14" i="3" s="1"/>
  <c r="P14" i="3" s="1"/>
  <c r="E15" i="3"/>
  <c r="F15" i="3" s="1"/>
  <c r="P15" i="3" s="1"/>
  <c r="E16" i="3"/>
  <c r="F16" i="3" s="1"/>
  <c r="P16" i="3" s="1"/>
  <c r="E17" i="3"/>
  <c r="F17" i="3" s="1"/>
  <c r="P17" i="3" s="1"/>
  <c r="E18" i="3"/>
  <c r="F18" i="3" s="1"/>
  <c r="P18" i="3" s="1"/>
  <c r="E10" i="3"/>
  <c r="F10" i="3" s="1"/>
  <c r="P10" i="3" s="1"/>
  <c r="E62" i="2"/>
  <c r="F62" i="2" s="1"/>
  <c r="E66" i="2"/>
  <c r="F66" i="2" s="1"/>
  <c r="E59" i="2"/>
  <c r="F59" i="2" s="1"/>
  <c r="E64" i="2"/>
  <c r="F64" i="2" s="1"/>
  <c r="E58" i="2"/>
  <c r="F58" i="2" s="1"/>
  <c r="E63" i="2"/>
  <c r="F63" i="2" s="1"/>
  <c r="E57" i="2"/>
  <c r="F57" i="2" s="1"/>
  <c r="E56" i="2"/>
  <c r="F56" i="2" s="1"/>
  <c r="E61" i="2"/>
  <c r="F61" i="2" s="1"/>
  <c r="M61" i="2"/>
  <c r="M64" i="2"/>
  <c r="M62" i="2"/>
  <c r="M57" i="2"/>
  <c r="M63" i="2"/>
  <c r="M65" i="2"/>
  <c r="M66" i="2"/>
  <c r="M60" i="2"/>
  <c r="M59" i="2"/>
  <c r="K47" i="5"/>
  <c r="M47" i="5" s="1"/>
  <c r="N60" i="11" s="1"/>
  <c r="P25" i="2"/>
  <c r="D16" i="13" s="1"/>
  <c r="P23" i="2"/>
  <c r="D14" i="13" s="1"/>
  <c r="P21" i="2"/>
  <c r="D12" i="13" s="1"/>
  <c r="P20" i="2"/>
  <c r="D11" i="13" s="1"/>
  <c r="P16" i="2"/>
  <c r="D7" i="13" s="1"/>
  <c r="P31" i="2"/>
  <c r="O19" i="3"/>
  <c r="P22" i="2"/>
  <c r="D13" i="13" s="1"/>
  <c r="P34" i="2"/>
  <c r="E10" i="13" s="1"/>
  <c r="P40" i="2"/>
  <c r="E16" i="13" s="1"/>
  <c r="P37" i="2"/>
  <c r="E13" i="13" s="1"/>
  <c r="O21" i="5"/>
  <c r="H48" i="5"/>
  <c r="K43" i="5"/>
  <c r="M43" i="5" s="1"/>
  <c r="N53" i="11" s="1"/>
  <c r="G18" i="13" l="1"/>
  <c r="AG17" i="13"/>
  <c r="AF102" i="13" s="1"/>
  <c r="C197" i="21"/>
  <c r="AE17" i="13"/>
  <c r="AE102" i="13" s="1"/>
  <c r="M390" i="21"/>
  <c r="M424" i="21" s="1"/>
  <c r="E120" i="13"/>
  <c r="F120" i="13" s="1"/>
  <c r="D9" i="14"/>
  <c r="G9" i="14" s="1"/>
  <c r="O8" i="5"/>
  <c r="O29" i="5"/>
  <c r="P29" i="5" s="1"/>
  <c r="D5" i="14"/>
  <c r="E119" i="13"/>
  <c r="F119" i="13" s="1"/>
  <c r="K21" i="4"/>
  <c r="J26" i="4"/>
  <c r="N18" i="4"/>
  <c r="O18" i="4"/>
  <c r="L18" i="4"/>
  <c r="M18" i="4"/>
  <c r="O15" i="4"/>
  <c r="L6" i="4"/>
  <c r="N6" i="4"/>
  <c r="M6" i="4"/>
  <c r="O6" i="4"/>
  <c r="K3" i="4"/>
  <c r="Q9" i="5"/>
  <c r="S9" i="5" s="1"/>
  <c r="P7" i="5"/>
  <c r="Q7" i="5"/>
  <c r="S7" i="5" s="1"/>
  <c r="O5" i="5"/>
  <c r="P5" i="5" s="1"/>
  <c r="AE8" i="13"/>
  <c r="AE93" i="13" s="1"/>
  <c r="E20" i="10"/>
  <c r="P90" i="11"/>
  <c r="P193" i="11" s="1"/>
  <c r="N67" i="2"/>
  <c r="P92" i="11"/>
  <c r="P195" i="11" s="1"/>
  <c r="AO92" i="11"/>
  <c r="AO195" i="11" s="1"/>
  <c r="AO90" i="11"/>
  <c r="AO193" i="11" s="1"/>
  <c r="G19" i="6"/>
  <c r="R8" i="6" s="1"/>
  <c r="N34" i="6"/>
  <c r="K23" i="6"/>
  <c r="D24" i="21" s="1"/>
  <c r="AB81" i="11"/>
  <c r="AB182" i="11" s="1"/>
  <c r="AB79" i="11"/>
  <c r="AB180" i="11" s="1"/>
  <c r="P95" i="11"/>
  <c r="P198" i="11" s="1"/>
  <c r="P80" i="11"/>
  <c r="Q80" i="11" s="1"/>
  <c r="AB95" i="11"/>
  <c r="AB198" i="11" s="1"/>
  <c r="AB80" i="11"/>
  <c r="AB181" i="11" s="1"/>
  <c r="P79" i="11"/>
  <c r="Q79" i="11" s="1"/>
  <c r="O16" i="5"/>
  <c r="O14" i="5"/>
  <c r="Q14" i="5" s="1"/>
  <c r="Q29" i="5"/>
  <c r="S29" i="5" s="1"/>
  <c r="P25" i="5"/>
  <c r="S22" i="5"/>
  <c r="T22" i="5" s="1"/>
  <c r="Q6" i="5"/>
  <c r="P6" i="5"/>
  <c r="N154" i="11"/>
  <c r="S53" i="11"/>
  <c r="S154" i="11" s="1"/>
  <c r="W53" i="11"/>
  <c r="W154" i="11" s="1"/>
  <c r="Q53" i="11"/>
  <c r="Q154" i="11" s="1"/>
  <c r="Y53" i="11"/>
  <c r="Y154" i="11" s="1"/>
  <c r="R53" i="11"/>
  <c r="R154" i="11" s="1"/>
  <c r="V53" i="11"/>
  <c r="V154" i="11" s="1"/>
  <c r="T53" i="11"/>
  <c r="T154" i="11" s="1"/>
  <c r="X53" i="11"/>
  <c r="X154" i="11" s="1"/>
  <c r="P53" i="11"/>
  <c r="P154" i="11" s="1"/>
  <c r="U53" i="11"/>
  <c r="U154" i="11" s="1"/>
  <c r="Z53" i="11"/>
  <c r="Z154" i="11" s="1"/>
  <c r="O53" i="11"/>
  <c r="N57" i="11"/>
  <c r="N56" i="11"/>
  <c r="Q13" i="5"/>
  <c r="P13" i="5"/>
  <c r="E15" i="7"/>
  <c r="P17" i="5"/>
  <c r="O34" i="5"/>
  <c r="Q35" i="5"/>
  <c r="S35" i="5" s="1"/>
  <c r="P35" i="5"/>
  <c r="N55" i="11"/>
  <c r="N54" i="11"/>
  <c r="P24" i="5"/>
  <c r="Q24" i="5"/>
  <c r="S24" i="5" s="1"/>
  <c r="N161" i="11"/>
  <c r="Q60" i="11"/>
  <c r="Q161" i="11" s="1"/>
  <c r="U60" i="11"/>
  <c r="U161" i="11" s="1"/>
  <c r="Y60" i="11"/>
  <c r="Y161" i="11" s="1"/>
  <c r="W60" i="11"/>
  <c r="W161" i="11" s="1"/>
  <c r="T60" i="11"/>
  <c r="T161" i="11" s="1"/>
  <c r="R60" i="11"/>
  <c r="R161" i="11" s="1"/>
  <c r="V60" i="11"/>
  <c r="V161" i="11" s="1"/>
  <c r="Z60" i="11"/>
  <c r="Z161" i="11" s="1"/>
  <c r="S60" i="11"/>
  <c r="S161" i="11" s="1"/>
  <c r="P60" i="11"/>
  <c r="P161" i="11" s="1"/>
  <c r="X60" i="11"/>
  <c r="X161" i="11" s="1"/>
  <c r="O60" i="11"/>
  <c r="N59" i="11"/>
  <c r="N58" i="11"/>
  <c r="O12" i="5"/>
  <c r="P12" i="5" s="1"/>
  <c r="P27" i="5"/>
  <c r="Q27" i="5"/>
  <c r="S27" i="5" s="1"/>
  <c r="Q60" i="2"/>
  <c r="H11" i="13" s="1"/>
  <c r="G96" i="13" s="1"/>
  <c r="Q58" i="2"/>
  <c r="H9" i="13" s="1"/>
  <c r="AH9" i="13" s="1"/>
  <c r="AG94" i="13" s="1"/>
  <c r="Q65" i="2"/>
  <c r="H16" i="13" s="1"/>
  <c r="G101" i="13" s="1"/>
  <c r="O67" i="2"/>
  <c r="I67" i="2"/>
  <c r="F103" i="13"/>
  <c r="E98" i="13"/>
  <c r="AE13" i="13"/>
  <c r="AE98" i="13" s="1"/>
  <c r="E92" i="13"/>
  <c r="AE7" i="13"/>
  <c r="E97" i="13"/>
  <c r="AE12" i="13"/>
  <c r="AE97" i="13" s="1"/>
  <c r="AE121" i="13" s="1"/>
  <c r="AF121" i="13" s="1"/>
  <c r="D196" i="21" s="1"/>
  <c r="H94" i="13"/>
  <c r="AI9" i="13"/>
  <c r="AH94" i="13" s="1"/>
  <c r="D159" i="21"/>
  <c r="C159" i="21"/>
  <c r="AI92" i="13"/>
  <c r="AH92" i="13"/>
  <c r="E96" i="13"/>
  <c r="AE11" i="13"/>
  <c r="AE96" i="13" s="1"/>
  <c r="E94" i="13"/>
  <c r="AE9" i="13"/>
  <c r="AE94" i="13" s="1"/>
  <c r="E101" i="13"/>
  <c r="AE16" i="13"/>
  <c r="AE101" i="13" s="1"/>
  <c r="I100" i="13"/>
  <c r="AK15" i="13"/>
  <c r="AI100" i="13" s="1"/>
  <c r="H99" i="13"/>
  <c r="AI14" i="13"/>
  <c r="AH99" i="13" s="1"/>
  <c r="I93" i="13"/>
  <c r="AK8" i="13"/>
  <c r="AI93" i="13" s="1"/>
  <c r="AF92" i="13"/>
  <c r="AF124" i="13"/>
  <c r="D199" i="21" s="1"/>
  <c r="C199" i="21"/>
  <c r="E95" i="13"/>
  <c r="AE10" i="13"/>
  <c r="AE95" i="13" s="1"/>
  <c r="E100" i="13"/>
  <c r="AE15" i="13"/>
  <c r="AE100" i="13" s="1"/>
  <c r="E99" i="13"/>
  <c r="AE14" i="13"/>
  <c r="AE99" i="13" s="1"/>
  <c r="H93" i="13"/>
  <c r="AI8" i="13"/>
  <c r="AH93" i="13" s="1"/>
  <c r="D161" i="21"/>
  <c r="C161" i="21"/>
  <c r="P65" i="11"/>
  <c r="P166" i="11" s="1"/>
  <c r="AB65" i="11"/>
  <c r="AB166" i="11" s="1"/>
  <c r="AO89" i="11"/>
  <c r="AO192" i="11" s="1"/>
  <c r="AO88" i="11"/>
  <c r="AO191" i="11" s="1"/>
  <c r="P89" i="11"/>
  <c r="P88" i="11"/>
  <c r="L110" i="6"/>
  <c r="E117" i="6"/>
  <c r="L117" i="6" s="1"/>
  <c r="L38" i="21" s="1"/>
  <c r="G110" i="6"/>
  <c r="R89" i="6" s="1"/>
  <c r="P78" i="11"/>
  <c r="P179" i="11" s="1"/>
  <c r="P86" i="11"/>
  <c r="P83" i="11"/>
  <c r="P84" i="11"/>
  <c r="O82" i="11"/>
  <c r="K103" i="6"/>
  <c r="K24" i="21" s="1"/>
  <c r="K116" i="6"/>
  <c r="G116" i="6"/>
  <c r="R90" i="6" s="1"/>
  <c r="P81" i="11"/>
  <c r="AB78" i="11"/>
  <c r="AB179" i="11" s="1"/>
  <c r="AB86" i="11"/>
  <c r="AB187" i="11" s="1"/>
  <c r="AB83" i="11"/>
  <c r="AB184" i="11" s="1"/>
  <c r="AB84" i="11"/>
  <c r="D20" i="21"/>
  <c r="Q62" i="11"/>
  <c r="Q163" i="11" s="1"/>
  <c r="Y62" i="11"/>
  <c r="Y163" i="11" s="1"/>
  <c r="AB62" i="11"/>
  <c r="AB163" i="11" s="1"/>
  <c r="R65" i="11"/>
  <c r="R166" i="11" s="1"/>
  <c r="P72" i="11"/>
  <c r="P173" i="11" s="1"/>
  <c r="Y66" i="11"/>
  <c r="Y167" i="11" s="1"/>
  <c r="Y72" i="11"/>
  <c r="Y173" i="11" s="1"/>
  <c r="T66" i="11"/>
  <c r="T167" i="11" s="1"/>
  <c r="Z69" i="11"/>
  <c r="Z170" i="11" s="1"/>
  <c r="Z72" i="11"/>
  <c r="Z173" i="11" s="1"/>
  <c r="Q69" i="11"/>
  <c r="Q170" i="11" s="1"/>
  <c r="S66" i="11"/>
  <c r="S167" i="11" s="1"/>
  <c r="S69" i="11"/>
  <c r="S170" i="11" s="1"/>
  <c r="AB72" i="11"/>
  <c r="AB173" i="11" s="1"/>
  <c r="P66" i="11"/>
  <c r="P167" i="11" s="1"/>
  <c r="X72" i="11"/>
  <c r="X173" i="11" s="1"/>
  <c r="Q72" i="11"/>
  <c r="Q173" i="11" s="1"/>
  <c r="W72" i="11"/>
  <c r="W173" i="11" s="1"/>
  <c r="R66" i="11"/>
  <c r="R167" i="11" s="1"/>
  <c r="X66" i="11"/>
  <c r="X167" i="11" s="1"/>
  <c r="W66" i="11"/>
  <c r="W167" i="11" s="1"/>
  <c r="T69" i="11"/>
  <c r="T170" i="11" s="1"/>
  <c r="P69" i="11"/>
  <c r="P170" i="11" s="1"/>
  <c r="X69" i="11"/>
  <c r="X170" i="11" s="1"/>
  <c r="U72" i="11"/>
  <c r="U173" i="11" s="1"/>
  <c r="S72" i="11"/>
  <c r="S173" i="11" s="1"/>
  <c r="U66" i="11"/>
  <c r="U167" i="11" s="1"/>
  <c r="Q66" i="11"/>
  <c r="Q167" i="11" s="1"/>
  <c r="V69" i="11"/>
  <c r="V170" i="11" s="1"/>
  <c r="W69" i="11"/>
  <c r="W170" i="11" s="1"/>
  <c r="R69" i="11"/>
  <c r="R170" i="11" s="1"/>
  <c r="R72" i="11"/>
  <c r="R173" i="11" s="1"/>
  <c r="V72" i="11"/>
  <c r="V173" i="11" s="1"/>
  <c r="T72" i="11"/>
  <c r="T173" i="11" s="1"/>
  <c r="V66" i="11"/>
  <c r="V167" i="11" s="1"/>
  <c r="Z66" i="11"/>
  <c r="Z167" i="11" s="1"/>
  <c r="AB66" i="11"/>
  <c r="AB167" i="11" s="1"/>
  <c r="U69" i="11"/>
  <c r="U170" i="11" s="1"/>
  <c r="Y69" i="11"/>
  <c r="Y170" i="11" s="1"/>
  <c r="AB69" i="11"/>
  <c r="AB170" i="11" s="1"/>
  <c r="W62" i="11"/>
  <c r="W163" i="11" s="1"/>
  <c r="U65" i="11"/>
  <c r="U166" i="11" s="1"/>
  <c r="S65" i="11"/>
  <c r="S166" i="11" s="1"/>
  <c r="P70" i="11"/>
  <c r="P171" i="11" s="1"/>
  <c r="X62" i="11"/>
  <c r="X163" i="11" s="1"/>
  <c r="R62" i="11"/>
  <c r="R163" i="11" s="1"/>
  <c r="Z62" i="11"/>
  <c r="Z163" i="11" s="1"/>
  <c r="T65" i="11"/>
  <c r="T166" i="11" s="1"/>
  <c r="W65" i="11"/>
  <c r="W166" i="11" s="1"/>
  <c r="Y65" i="11"/>
  <c r="Y166" i="11" s="1"/>
  <c r="O61" i="11"/>
  <c r="O162" i="11" s="1"/>
  <c r="F85" i="6"/>
  <c r="P62" i="11"/>
  <c r="P163" i="11" s="1"/>
  <c r="T62" i="11"/>
  <c r="T163" i="11" s="1"/>
  <c r="Q65" i="11"/>
  <c r="Q166" i="11" s="1"/>
  <c r="V62" i="11"/>
  <c r="V163" i="11" s="1"/>
  <c r="S62" i="11"/>
  <c r="S163" i="11" s="1"/>
  <c r="U62" i="11"/>
  <c r="U163" i="11" s="1"/>
  <c r="V65" i="11"/>
  <c r="V166" i="11" s="1"/>
  <c r="Z65" i="11"/>
  <c r="Z166" i="11" s="1"/>
  <c r="X65" i="11"/>
  <c r="X166" i="11" s="1"/>
  <c r="G86" i="6"/>
  <c r="R87" i="6" s="1"/>
  <c r="C117" i="6"/>
  <c r="J117" i="6" s="1"/>
  <c r="J38" i="21" s="1"/>
  <c r="J86" i="6"/>
  <c r="U17" i="5"/>
  <c r="V17" i="5"/>
  <c r="U31" i="5"/>
  <c r="V31" i="5"/>
  <c r="N48" i="11" s="1"/>
  <c r="C34" i="16"/>
  <c r="G390" i="21"/>
  <c r="C32" i="16"/>
  <c r="E390" i="21"/>
  <c r="C37" i="16"/>
  <c r="J390" i="21"/>
  <c r="C33" i="16"/>
  <c r="F390" i="21"/>
  <c r="C36" i="16"/>
  <c r="I390" i="21"/>
  <c r="C38" i="16"/>
  <c r="K390" i="21"/>
  <c r="C39" i="16"/>
  <c r="L390" i="21"/>
  <c r="C35" i="16"/>
  <c r="H390" i="21"/>
  <c r="C31" i="16"/>
  <c r="D390" i="21"/>
  <c r="D101" i="13"/>
  <c r="AD16" i="13"/>
  <c r="D100" i="13"/>
  <c r="AD15" i="13"/>
  <c r="D97" i="13"/>
  <c r="AD12" i="13"/>
  <c r="AD97" i="13" s="1"/>
  <c r="AE120" i="13" s="1"/>
  <c r="D94" i="13"/>
  <c r="AD9" i="13"/>
  <c r="AD94" i="13" s="1"/>
  <c r="D92" i="13"/>
  <c r="AD7" i="13"/>
  <c r="D96" i="13"/>
  <c r="AD11" i="13"/>
  <c r="AD96" i="13" s="1"/>
  <c r="D98" i="13"/>
  <c r="AD13" i="13"/>
  <c r="D99" i="13"/>
  <c r="AD14" i="13"/>
  <c r="AD102" i="13"/>
  <c r="D95" i="13"/>
  <c r="AD10" i="13"/>
  <c r="AD95" i="13" s="1"/>
  <c r="C15" i="15"/>
  <c r="M207" i="21" s="1"/>
  <c r="I102" i="13"/>
  <c r="Y70" i="11"/>
  <c r="Y171" i="11" s="1"/>
  <c r="R70" i="11"/>
  <c r="R171" i="11" s="1"/>
  <c r="X70" i="11"/>
  <c r="X171" i="11" s="1"/>
  <c r="W70" i="11"/>
  <c r="W171" i="11" s="1"/>
  <c r="S70" i="11"/>
  <c r="S171" i="11" s="1"/>
  <c r="Q70" i="11"/>
  <c r="Q171" i="11" s="1"/>
  <c r="U70" i="11"/>
  <c r="U171" i="11" s="1"/>
  <c r="T70" i="11"/>
  <c r="T171" i="11" s="1"/>
  <c r="AB70" i="11"/>
  <c r="AB171" i="11" s="1"/>
  <c r="V70" i="11"/>
  <c r="V171" i="11" s="1"/>
  <c r="Z70" i="11"/>
  <c r="Z171" i="11" s="1"/>
  <c r="Z73" i="11"/>
  <c r="Z174" i="11" s="1"/>
  <c r="Q73" i="11"/>
  <c r="Q174" i="11" s="1"/>
  <c r="V73" i="11"/>
  <c r="V174" i="11" s="1"/>
  <c r="X73" i="11"/>
  <c r="X174" i="11" s="1"/>
  <c r="AB73" i="11"/>
  <c r="R73" i="11"/>
  <c r="R174" i="11" s="1"/>
  <c r="S73" i="11"/>
  <c r="S174" i="11" s="1"/>
  <c r="Y73" i="11"/>
  <c r="Y174" i="11" s="1"/>
  <c r="T73" i="11"/>
  <c r="T174" i="11" s="1"/>
  <c r="W73" i="11"/>
  <c r="W174" i="11" s="1"/>
  <c r="U73" i="11"/>
  <c r="U174" i="11" s="1"/>
  <c r="AB63" i="11"/>
  <c r="AB164" i="11" s="1"/>
  <c r="W63" i="11"/>
  <c r="W164" i="11" s="1"/>
  <c r="U63" i="11"/>
  <c r="U164" i="11" s="1"/>
  <c r="P63" i="11"/>
  <c r="P164" i="11" s="1"/>
  <c r="T63" i="11"/>
  <c r="T164" i="11" s="1"/>
  <c r="Y63" i="11"/>
  <c r="Y164" i="11" s="1"/>
  <c r="X63" i="11"/>
  <c r="X164" i="11" s="1"/>
  <c r="R63" i="11"/>
  <c r="R164" i="11" s="1"/>
  <c r="Z63" i="11"/>
  <c r="Z164" i="11" s="1"/>
  <c r="S63" i="11"/>
  <c r="S164" i="11" s="1"/>
  <c r="Q63" i="11"/>
  <c r="Q164" i="11" s="1"/>
  <c r="V63" i="11"/>
  <c r="V164" i="11" s="1"/>
  <c r="AB71" i="11"/>
  <c r="AB172" i="11" s="1"/>
  <c r="S71" i="11"/>
  <c r="S172" i="11" s="1"/>
  <c r="W71" i="11"/>
  <c r="W172" i="11" s="1"/>
  <c r="Z71" i="11"/>
  <c r="Z172" i="11" s="1"/>
  <c r="Y71" i="11"/>
  <c r="Y172" i="11" s="1"/>
  <c r="T71" i="11"/>
  <c r="T172" i="11" s="1"/>
  <c r="V71" i="11"/>
  <c r="V172" i="11" s="1"/>
  <c r="U71" i="11"/>
  <c r="U172" i="11" s="1"/>
  <c r="X71" i="11"/>
  <c r="X172" i="11" s="1"/>
  <c r="P71" i="11"/>
  <c r="P172" i="11" s="1"/>
  <c r="R71" i="11"/>
  <c r="R172" i="11" s="1"/>
  <c r="Q71" i="11"/>
  <c r="Q172" i="11" s="1"/>
  <c r="P73" i="11"/>
  <c r="P174" i="11" s="1"/>
  <c r="AB74" i="11"/>
  <c r="AB175" i="11" s="1"/>
  <c r="Z74" i="11"/>
  <c r="Z175" i="11" s="1"/>
  <c r="Y74" i="11"/>
  <c r="Y175" i="11" s="1"/>
  <c r="P74" i="11"/>
  <c r="P175" i="11" s="1"/>
  <c r="Q74" i="11"/>
  <c r="Q175" i="11" s="1"/>
  <c r="W74" i="11"/>
  <c r="W175" i="11" s="1"/>
  <c r="V74" i="11"/>
  <c r="V175" i="11" s="1"/>
  <c r="R74" i="11"/>
  <c r="R175" i="11" s="1"/>
  <c r="U74" i="11"/>
  <c r="U175" i="11" s="1"/>
  <c r="X74" i="11"/>
  <c r="X175" i="11" s="1"/>
  <c r="S74" i="11"/>
  <c r="S175" i="11" s="1"/>
  <c r="T74" i="11"/>
  <c r="T175" i="11" s="1"/>
  <c r="AJ68" i="11"/>
  <c r="AJ169" i="11" s="1"/>
  <c r="AH68" i="11"/>
  <c r="AH169" i="11" s="1"/>
  <c r="AI68" i="11"/>
  <c r="AI169" i="11" s="1"/>
  <c r="AL68" i="11"/>
  <c r="AL169" i="11" s="1"/>
  <c r="AE68" i="11"/>
  <c r="AE169" i="11" s="1"/>
  <c r="AM68" i="11"/>
  <c r="AM169" i="11" s="1"/>
  <c r="AG68" i="11"/>
  <c r="AG169" i="11" s="1"/>
  <c r="AD68" i="11"/>
  <c r="AD169" i="11" s="1"/>
  <c r="AF68" i="11"/>
  <c r="AF169" i="11" s="1"/>
  <c r="AK68" i="11"/>
  <c r="AK169" i="11" s="1"/>
  <c r="AB64" i="11"/>
  <c r="AB165" i="11" s="1"/>
  <c r="R64" i="11"/>
  <c r="R165" i="11" s="1"/>
  <c r="W64" i="11"/>
  <c r="W165" i="11" s="1"/>
  <c r="Q64" i="11"/>
  <c r="Q165" i="11" s="1"/>
  <c r="V64" i="11"/>
  <c r="V165" i="11" s="1"/>
  <c r="T64" i="11"/>
  <c r="T165" i="11" s="1"/>
  <c r="U64" i="11"/>
  <c r="U165" i="11" s="1"/>
  <c r="Z64" i="11"/>
  <c r="Z165" i="11" s="1"/>
  <c r="X64" i="11"/>
  <c r="X165" i="11" s="1"/>
  <c r="Y64" i="11"/>
  <c r="Y165" i="11" s="1"/>
  <c r="S64" i="11"/>
  <c r="S165" i="11" s="1"/>
  <c r="P64" i="11"/>
  <c r="P165" i="11" s="1"/>
  <c r="AB75" i="11"/>
  <c r="AB176" i="11" s="1"/>
  <c r="S75" i="11"/>
  <c r="S176" i="11" s="1"/>
  <c r="P75" i="11"/>
  <c r="P176" i="11" s="1"/>
  <c r="V75" i="11"/>
  <c r="V176" i="11" s="1"/>
  <c r="Q75" i="11"/>
  <c r="Q176" i="11" s="1"/>
  <c r="W75" i="11"/>
  <c r="W176" i="11" s="1"/>
  <c r="T75" i="11"/>
  <c r="T176" i="11" s="1"/>
  <c r="R75" i="11"/>
  <c r="R176" i="11" s="1"/>
  <c r="Y75" i="11"/>
  <c r="Y176" i="11" s="1"/>
  <c r="X75" i="11"/>
  <c r="X176" i="11" s="1"/>
  <c r="Z75" i="11"/>
  <c r="Z176" i="11" s="1"/>
  <c r="U75" i="11"/>
  <c r="U176" i="11" s="1"/>
  <c r="AB67" i="11"/>
  <c r="AB168" i="11" s="1"/>
  <c r="X67" i="11"/>
  <c r="X168" i="11" s="1"/>
  <c r="V67" i="11"/>
  <c r="V168" i="11" s="1"/>
  <c r="W67" i="11"/>
  <c r="W168" i="11" s="1"/>
  <c r="R67" i="11"/>
  <c r="R168" i="11" s="1"/>
  <c r="Y67" i="11"/>
  <c r="Y168" i="11" s="1"/>
  <c r="S67" i="11"/>
  <c r="S168" i="11" s="1"/>
  <c r="T67" i="11"/>
  <c r="T168" i="11" s="1"/>
  <c r="U67" i="11"/>
  <c r="U168" i="11" s="1"/>
  <c r="P67" i="11"/>
  <c r="P168" i="11" s="1"/>
  <c r="Z67" i="11"/>
  <c r="Z168" i="11" s="1"/>
  <c r="Q67" i="11"/>
  <c r="Q168" i="11" s="1"/>
  <c r="AD79" i="11"/>
  <c r="AD180" i="11" s="1"/>
  <c r="R76" i="11"/>
  <c r="R177" i="11" s="1"/>
  <c r="AB76" i="11"/>
  <c r="AB177" i="11" s="1"/>
  <c r="Z76" i="11"/>
  <c r="Z177" i="11" s="1"/>
  <c r="U76" i="11"/>
  <c r="U177" i="11" s="1"/>
  <c r="P76" i="11"/>
  <c r="P177" i="11" s="1"/>
  <c r="X76" i="11"/>
  <c r="X177" i="11" s="1"/>
  <c r="W76" i="11"/>
  <c r="W177" i="11" s="1"/>
  <c r="Q76" i="11"/>
  <c r="Q177" i="11" s="1"/>
  <c r="Y76" i="11"/>
  <c r="Y177" i="11" s="1"/>
  <c r="V76" i="11"/>
  <c r="V177" i="11" s="1"/>
  <c r="T76" i="11"/>
  <c r="T177" i="11" s="1"/>
  <c r="S76" i="11"/>
  <c r="S177" i="11" s="1"/>
  <c r="AG65" i="11"/>
  <c r="AG166" i="11" s="1"/>
  <c r="AI65" i="11"/>
  <c r="AI166" i="11" s="1"/>
  <c r="E102" i="13"/>
  <c r="D102" i="13"/>
  <c r="C8" i="16"/>
  <c r="C8" i="15"/>
  <c r="F207" i="21" s="1"/>
  <c r="C11" i="16"/>
  <c r="C11" i="15"/>
  <c r="I207" i="21" s="1"/>
  <c r="C7" i="16"/>
  <c r="C7" i="15"/>
  <c r="E207" i="21" s="1"/>
  <c r="C12" i="16"/>
  <c r="C12" i="15"/>
  <c r="J207" i="21" s="1"/>
  <c r="C14" i="16"/>
  <c r="C14" i="15"/>
  <c r="L207" i="21" s="1"/>
  <c r="C10" i="16"/>
  <c r="C10" i="15"/>
  <c r="C6" i="16"/>
  <c r="C6" i="15"/>
  <c r="D207" i="21" s="1"/>
  <c r="E54" i="10"/>
  <c r="C13" i="16"/>
  <c r="C13" i="15"/>
  <c r="K207" i="21" s="1"/>
  <c r="C9" i="16"/>
  <c r="C9" i="15"/>
  <c r="G207" i="21" s="1"/>
  <c r="P91" i="11"/>
  <c r="P194" i="11" s="1"/>
  <c r="AO91" i="11"/>
  <c r="AO194" i="11" s="1"/>
  <c r="P93" i="11"/>
  <c r="AO93" i="11"/>
  <c r="AO196" i="11" s="1"/>
  <c r="O17" i="4"/>
  <c r="N7" i="4"/>
  <c r="M7" i="4"/>
  <c r="L21" i="4"/>
  <c r="N21" i="4"/>
  <c r="P27" i="4"/>
  <c r="I20" i="4"/>
  <c r="Q6" i="4"/>
  <c r="R6" i="4" s="1"/>
  <c r="K20" i="4"/>
  <c r="H27" i="4"/>
  <c r="Q12" i="4"/>
  <c r="R12" i="4" s="1"/>
  <c r="M21" i="4"/>
  <c r="J20" i="4"/>
  <c r="J27" i="4" s="1"/>
  <c r="K22" i="4"/>
  <c r="O21" i="4"/>
  <c r="K18" i="13"/>
  <c r="I18" i="13"/>
  <c r="L67" i="2"/>
  <c r="Q57" i="2"/>
  <c r="H8" i="13" s="1"/>
  <c r="D8" i="13"/>
  <c r="AD8" i="13" s="1"/>
  <c r="AD93" i="13" s="1"/>
  <c r="P67" i="2"/>
  <c r="Q66" i="2"/>
  <c r="H17" i="13" s="1"/>
  <c r="AH17" i="13" s="1"/>
  <c r="AG102" i="13" s="1"/>
  <c r="O7" i="4"/>
  <c r="Q7" i="4" s="1"/>
  <c r="R7" i="4" s="1"/>
  <c r="L15" i="4"/>
  <c r="M15" i="4"/>
  <c r="L10" i="4"/>
  <c r="O10" i="4"/>
  <c r="M10" i="4"/>
  <c r="N10" i="4"/>
  <c r="Q18" i="4"/>
  <c r="R18" i="4" s="1"/>
  <c r="L24" i="4"/>
  <c r="O24" i="4"/>
  <c r="M24" i="4"/>
  <c r="O5" i="4"/>
  <c r="L5" i="4"/>
  <c r="M5" i="4"/>
  <c r="N5" i="4"/>
  <c r="L14" i="4"/>
  <c r="M14" i="4"/>
  <c r="N14" i="4"/>
  <c r="O14" i="4"/>
  <c r="L4" i="4"/>
  <c r="O4" i="4"/>
  <c r="N4" i="4"/>
  <c r="M4" i="4"/>
  <c r="L3" i="4"/>
  <c r="N3" i="4"/>
  <c r="M3" i="4"/>
  <c r="O3" i="4"/>
  <c r="Q19" i="4"/>
  <c r="R19" i="4" s="1"/>
  <c r="L9" i="4"/>
  <c r="M9" i="4"/>
  <c r="N9" i="4"/>
  <c r="O9" i="4"/>
  <c r="L16" i="4"/>
  <c r="M16" i="4"/>
  <c r="N16" i="4"/>
  <c r="O16" i="4"/>
  <c r="L22" i="4"/>
  <c r="O22" i="4"/>
  <c r="M17" i="4"/>
  <c r="L17" i="4"/>
  <c r="L8" i="4"/>
  <c r="N8" i="4"/>
  <c r="O8" i="4"/>
  <c r="M8" i="4"/>
  <c r="Q25" i="4"/>
  <c r="R25" i="4" s="1"/>
  <c r="M23" i="4"/>
  <c r="O23" i="4"/>
  <c r="N23" i="4"/>
  <c r="L23" i="4"/>
  <c r="M13" i="4"/>
  <c r="O13" i="4"/>
  <c r="N13" i="4"/>
  <c r="L13" i="4"/>
  <c r="Q32" i="5"/>
  <c r="S32" i="5" s="1"/>
  <c r="P32" i="5"/>
  <c r="Q11" i="5"/>
  <c r="P11" i="5"/>
  <c r="Q19" i="5"/>
  <c r="S19" i="5" s="1"/>
  <c r="P19" i="5"/>
  <c r="Q28" i="5"/>
  <c r="S28" i="5" s="1"/>
  <c r="P28" i="5"/>
  <c r="Q10" i="5"/>
  <c r="P10" i="5"/>
  <c r="K48" i="5"/>
  <c r="Q15" i="5"/>
  <c r="S15" i="5" s="1"/>
  <c r="P15" i="5"/>
  <c r="P18" i="5"/>
  <c r="Q18" i="5"/>
  <c r="S18" i="5" s="1"/>
  <c r="C24" i="8"/>
  <c r="E26" i="9"/>
  <c r="E17" i="8"/>
  <c r="P21" i="5"/>
  <c r="Q21" i="5"/>
  <c r="S21" i="5" s="1"/>
  <c r="Q20" i="5"/>
  <c r="S20" i="5" s="1"/>
  <c r="P20" i="5"/>
  <c r="Q63" i="2"/>
  <c r="H14" i="13" s="1"/>
  <c r="Q26" i="5"/>
  <c r="S26" i="5" s="1"/>
  <c r="P26" i="5"/>
  <c r="P33" i="5"/>
  <c r="Q33" i="5"/>
  <c r="S33" i="5" s="1"/>
  <c r="P8" i="5"/>
  <c r="Q8" i="5"/>
  <c r="S8" i="5" s="1"/>
  <c r="Q30" i="5"/>
  <c r="S30" i="5" s="1"/>
  <c r="P30" i="5"/>
  <c r="M67" i="2"/>
  <c r="Q61" i="2"/>
  <c r="H12" i="13" s="1"/>
  <c r="Q62" i="2"/>
  <c r="H13" i="13" s="1"/>
  <c r="T23" i="5"/>
  <c r="Q16" i="5"/>
  <c r="S16" i="5" s="1"/>
  <c r="P16" i="5"/>
  <c r="P42" i="2"/>
  <c r="F67" i="2"/>
  <c r="Q56" i="2"/>
  <c r="H7" i="13" s="1"/>
  <c r="AH7" i="13" s="1"/>
  <c r="Q64" i="2"/>
  <c r="H15" i="13" s="1"/>
  <c r="Q11" i="4"/>
  <c r="R11" i="4" s="1"/>
  <c r="P27" i="2"/>
  <c r="Q59" i="2"/>
  <c r="H10" i="13" s="1"/>
  <c r="P8" i="3"/>
  <c r="F19" i="3"/>
  <c r="T25" i="5"/>
  <c r="R42" i="2" l="1"/>
  <c r="AB185" i="11"/>
  <c r="AH85" i="11"/>
  <c r="AF85" i="11"/>
  <c r="AG85" i="11"/>
  <c r="AD85" i="11"/>
  <c r="AE85" i="11"/>
  <c r="Q90" i="11"/>
  <c r="AF103" i="13"/>
  <c r="AG18" i="13"/>
  <c r="C196" i="21"/>
  <c r="D7" i="14"/>
  <c r="E122" i="13"/>
  <c r="F122" i="13" s="1"/>
  <c r="AH72" i="11"/>
  <c r="AH173" i="11" s="1"/>
  <c r="E18" i="13"/>
  <c r="E93" i="13"/>
  <c r="E103" i="13" s="1"/>
  <c r="T7" i="5"/>
  <c r="P14" i="5"/>
  <c r="T9" i="5"/>
  <c r="U9" i="5" s="1"/>
  <c r="Q5" i="5"/>
  <c r="S5" i="5" s="1"/>
  <c r="H207" i="21"/>
  <c r="I220" i="21"/>
  <c r="G220" i="21"/>
  <c r="D220" i="21"/>
  <c r="L220" i="21"/>
  <c r="E220" i="21"/>
  <c r="F220" i="21"/>
  <c r="J220" i="21"/>
  <c r="M220" i="21"/>
  <c r="K220" i="21"/>
  <c r="O26" i="4"/>
  <c r="K26" i="4"/>
  <c r="K27" i="4" s="1"/>
  <c r="Q21" i="4"/>
  <c r="L26" i="4"/>
  <c r="AE79" i="11"/>
  <c r="AE180" i="11" s="1"/>
  <c r="AG79" i="11"/>
  <c r="AG180" i="11" s="1"/>
  <c r="E96" i="2"/>
  <c r="G15" i="14"/>
  <c r="T29" i="5"/>
  <c r="U29" i="5" s="1"/>
  <c r="Q12" i="5"/>
  <c r="S12" i="5" s="1"/>
  <c r="AH16" i="13"/>
  <c r="AG101" i="13" s="1"/>
  <c r="Q92" i="11"/>
  <c r="Q195" i="11" s="1"/>
  <c r="AH11" i="13"/>
  <c r="AG96" i="13" s="1"/>
  <c r="AJ96" i="13" s="1"/>
  <c r="AL96" i="13" s="1"/>
  <c r="G94" i="13"/>
  <c r="AE86" i="11"/>
  <c r="AE187" i="11" s="1"/>
  <c r="AH81" i="11"/>
  <c r="AH182" i="11" s="1"/>
  <c r="C47" i="9"/>
  <c r="E47" i="9" s="1"/>
  <c r="AF79" i="11"/>
  <c r="AF180" i="11" s="1"/>
  <c r="N19" i="6"/>
  <c r="Q95" i="11"/>
  <c r="R95" i="11" s="1"/>
  <c r="AG81" i="11"/>
  <c r="AG182" i="11" s="1"/>
  <c r="AD81" i="11"/>
  <c r="AD182" i="11" s="1"/>
  <c r="AE81" i="11"/>
  <c r="AE182" i="11" s="1"/>
  <c r="AF81" i="11"/>
  <c r="AF182" i="11" s="1"/>
  <c r="G20" i="21"/>
  <c r="P180" i="11"/>
  <c r="AH80" i="11"/>
  <c r="AH181" i="11" s="1"/>
  <c r="AH79" i="11"/>
  <c r="AH180" i="11" s="1"/>
  <c r="P181" i="11"/>
  <c r="AD95" i="11"/>
  <c r="AD198" i="11" s="1"/>
  <c r="AH95" i="11"/>
  <c r="AH198" i="11" s="1"/>
  <c r="E72" i="7"/>
  <c r="E110" i="7"/>
  <c r="AG80" i="11"/>
  <c r="AG181" i="11" s="1"/>
  <c r="AE80" i="11"/>
  <c r="AE181" i="11" s="1"/>
  <c r="AD80" i="11"/>
  <c r="AD181" i="11" s="1"/>
  <c r="AF95" i="11"/>
  <c r="AF198" i="11" s="1"/>
  <c r="AF80" i="11"/>
  <c r="AF181" i="11" s="1"/>
  <c r="AG95" i="11"/>
  <c r="AG198" i="11" s="1"/>
  <c r="AE95" i="11"/>
  <c r="AE198" i="11" s="1"/>
  <c r="AD86" i="11"/>
  <c r="AD187" i="11" s="1"/>
  <c r="AL65" i="11"/>
  <c r="AL166" i="11" s="1"/>
  <c r="AJ65" i="11"/>
  <c r="AJ166" i="11" s="1"/>
  <c r="AD65" i="11"/>
  <c r="AD166" i="11" s="1"/>
  <c r="AK65" i="11"/>
  <c r="AK166" i="11" s="1"/>
  <c r="AI66" i="11"/>
  <c r="AI167" i="11" s="1"/>
  <c r="AE65" i="11"/>
  <c r="AE166" i="11" s="1"/>
  <c r="AM65" i="11"/>
  <c r="AM166" i="11" s="1"/>
  <c r="V22" i="5"/>
  <c r="U22" i="5"/>
  <c r="E4" i="7"/>
  <c r="S10" i="5"/>
  <c r="T10" i="5" s="1"/>
  <c r="U10" i="5" s="1"/>
  <c r="S11" i="5"/>
  <c r="T11" i="5" s="1"/>
  <c r="U11" i="5" s="1"/>
  <c r="E109" i="7"/>
  <c r="S13" i="5"/>
  <c r="T13" i="5" s="1"/>
  <c r="S14" i="5"/>
  <c r="T14" i="5" s="1"/>
  <c r="S6" i="5"/>
  <c r="T6" i="5" s="1"/>
  <c r="V9" i="5"/>
  <c r="N17" i="11" s="1"/>
  <c r="N159" i="11"/>
  <c r="Q58" i="11"/>
  <c r="Q159" i="11" s="1"/>
  <c r="U58" i="11"/>
  <c r="U159" i="11" s="1"/>
  <c r="Y58" i="11"/>
  <c r="Y159" i="11" s="1"/>
  <c r="P58" i="11"/>
  <c r="P159" i="11" s="1"/>
  <c r="T58" i="11"/>
  <c r="T159" i="11" s="1"/>
  <c r="X58" i="11"/>
  <c r="X159" i="11" s="1"/>
  <c r="R58" i="11"/>
  <c r="R159" i="11" s="1"/>
  <c r="V58" i="11"/>
  <c r="V159" i="11" s="1"/>
  <c r="Z58" i="11"/>
  <c r="Z159" i="11" s="1"/>
  <c r="S58" i="11"/>
  <c r="S159" i="11" s="1"/>
  <c r="W58" i="11"/>
  <c r="W159" i="11" s="1"/>
  <c r="O58" i="11"/>
  <c r="T24" i="5"/>
  <c r="N158" i="11"/>
  <c r="S57" i="11"/>
  <c r="S158" i="11" s="1"/>
  <c r="W57" i="11"/>
  <c r="W158" i="11" s="1"/>
  <c r="Q57" i="11"/>
  <c r="Q158" i="11" s="1"/>
  <c r="Y57" i="11"/>
  <c r="Y158" i="11" s="1"/>
  <c r="R57" i="11"/>
  <c r="R158" i="11" s="1"/>
  <c r="V57" i="11"/>
  <c r="V158" i="11" s="1"/>
  <c r="T57" i="11"/>
  <c r="T158" i="11" s="1"/>
  <c r="X57" i="11"/>
  <c r="X158" i="11" s="1"/>
  <c r="P57" i="11"/>
  <c r="P158" i="11" s="1"/>
  <c r="U57" i="11"/>
  <c r="U158" i="11" s="1"/>
  <c r="Z57" i="11"/>
  <c r="Z158" i="11" s="1"/>
  <c r="O57" i="11"/>
  <c r="E35" i="7"/>
  <c r="E73" i="7"/>
  <c r="N160" i="11"/>
  <c r="S59" i="11"/>
  <c r="S160" i="11" s="1"/>
  <c r="W59" i="11"/>
  <c r="W160" i="11" s="1"/>
  <c r="Q59" i="11"/>
  <c r="Q160" i="11" s="1"/>
  <c r="Y59" i="11"/>
  <c r="Y160" i="11" s="1"/>
  <c r="V59" i="11"/>
  <c r="V160" i="11" s="1"/>
  <c r="Z59" i="11"/>
  <c r="Z160" i="11" s="1"/>
  <c r="P59" i="11"/>
  <c r="P160" i="11" s="1"/>
  <c r="T59" i="11"/>
  <c r="T160" i="11" s="1"/>
  <c r="X59" i="11"/>
  <c r="X160" i="11" s="1"/>
  <c r="U59" i="11"/>
  <c r="U160" i="11" s="1"/>
  <c r="R59" i="11"/>
  <c r="R160" i="11" s="1"/>
  <c r="O59" i="11"/>
  <c r="T35" i="5"/>
  <c r="E100" i="7"/>
  <c r="N155" i="11"/>
  <c r="Q54" i="11"/>
  <c r="Q155" i="11" s="1"/>
  <c r="U54" i="11"/>
  <c r="U155" i="11" s="1"/>
  <c r="Y54" i="11"/>
  <c r="Y155" i="11" s="1"/>
  <c r="P54" i="11"/>
  <c r="P155" i="11" s="1"/>
  <c r="W54" i="11"/>
  <c r="W155" i="11" s="1"/>
  <c r="T54" i="11"/>
  <c r="T155" i="11" s="1"/>
  <c r="X54" i="11"/>
  <c r="X155" i="11" s="1"/>
  <c r="R54" i="11"/>
  <c r="R155" i="11" s="1"/>
  <c r="V54" i="11"/>
  <c r="V155" i="11" s="1"/>
  <c r="Z54" i="11"/>
  <c r="Z155" i="11" s="1"/>
  <c r="S54" i="11"/>
  <c r="S155" i="11" s="1"/>
  <c r="O54" i="11"/>
  <c r="P34" i="5"/>
  <c r="Q34" i="5"/>
  <c r="T27" i="5"/>
  <c r="AB53" i="11"/>
  <c r="O154" i="11"/>
  <c r="E13" i="7"/>
  <c r="E37" i="7"/>
  <c r="AB60" i="11"/>
  <c r="O161" i="11"/>
  <c r="N156" i="11"/>
  <c r="S55" i="11"/>
  <c r="S156" i="11" s="1"/>
  <c r="W55" i="11"/>
  <c r="W156" i="11" s="1"/>
  <c r="U55" i="11"/>
  <c r="U156" i="11" s="1"/>
  <c r="R55" i="11"/>
  <c r="R156" i="11" s="1"/>
  <c r="V55" i="11"/>
  <c r="V156" i="11" s="1"/>
  <c r="Z55" i="11"/>
  <c r="Z156" i="11" s="1"/>
  <c r="P55" i="11"/>
  <c r="P156" i="11" s="1"/>
  <c r="T55" i="11"/>
  <c r="T156" i="11" s="1"/>
  <c r="X55" i="11"/>
  <c r="X156" i="11" s="1"/>
  <c r="Q55" i="11"/>
  <c r="Q156" i="11" s="1"/>
  <c r="Y55" i="11"/>
  <c r="Y156" i="11" s="1"/>
  <c r="O55" i="11"/>
  <c r="N157" i="11"/>
  <c r="Q56" i="11"/>
  <c r="Q157" i="11" s="1"/>
  <c r="U56" i="11"/>
  <c r="U157" i="11" s="1"/>
  <c r="Y56" i="11"/>
  <c r="Y157" i="11" s="1"/>
  <c r="S56" i="11"/>
  <c r="S157" i="11" s="1"/>
  <c r="P56" i="11"/>
  <c r="P157" i="11" s="1"/>
  <c r="X56" i="11"/>
  <c r="X157" i="11" s="1"/>
  <c r="R56" i="11"/>
  <c r="R157" i="11" s="1"/>
  <c r="V56" i="11"/>
  <c r="V157" i="11" s="1"/>
  <c r="Z56" i="11"/>
  <c r="Z157" i="11" s="1"/>
  <c r="W56" i="11"/>
  <c r="W157" i="11" s="1"/>
  <c r="T56" i="11"/>
  <c r="T157" i="11" s="1"/>
  <c r="O56" i="11"/>
  <c r="AI103" i="13"/>
  <c r="H103" i="13"/>
  <c r="I103" i="13"/>
  <c r="AJ94" i="13"/>
  <c r="AL94" i="13" s="1"/>
  <c r="AH103" i="13"/>
  <c r="J101" i="13"/>
  <c r="L101" i="13" s="1"/>
  <c r="AK18" i="13"/>
  <c r="AE92" i="13"/>
  <c r="AE103" i="13" s="1"/>
  <c r="AE18" i="13"/>
  <c r="D158" i="21"/>
  <c r="C158" i="21"/>
  <c r="J96" i="13"/>
  <c r="L96" i="13" s="1"/>
  <c r="J94" i="13"/>
  <c r="L94" i="13" s="1"/>
  <c r="AF125" i="13"/>
  <c r="D200" i="21" s="1"/>
  <c r="C200" i="21"/>
  <c r="AI18" i="13"/>
  <c r="D162" i="21"/>
  <c r="C162" i="21"/>
  <c r="AH65" i="11"/>
  <c r="AH166" i="11" s="1"/>
  <c r="AF65" i="11"/>
  <c r="AF166" i="11" s="1"/>
  <c r="AK66" i="11"/>
  <c r="AK167" i="11" s="1"/>
  <c r="R90" i="11"/>
  <c r="Q193" i="11"/>
  <c r="Q88" i="11"/>
  <c r="P191" i="11"/>
  <c r="L31" i="21"/>
  <c r="N31" i="21" s="1"/>
  <c r="N110" i="6"/>
  <c r="Q89" i="11"/>
  <c r="P192" i="11"/>
  <c r="Q93" i="11"/>
  <c r="P196" i="11"/>
  <c r="AO197" i="11"/>
  <c r="AF84" i="11"/>
  <c r="AF185" i="11" s="1"/>
  <c r="AH84" i="11"/>
  <c r="AH185" i="11" s="1"/>
  <c r="AD84" i="11"/>
  <c r="AD185" i="11" s="1"/>
  <c r="AG83" i="11"/>
  <c r="AG184" i="11" s="1"/>
  <c r="Q78" i="11"/>
  <c r="Q179" i="11" s="1"/>
  <c r="AG84" i="11"/>
  <c r="AG185" i="11" s="1"/>
  <c r="AE84" i="11"/>
  <c r="AE185" i="11" s="1"/>
  <c r="AG86" i="11"/>
  <c r="AG187" i="11" s="1"/>
  <c r="AD78" i="11"/>
  <c r="AD179" i="11" s="1"/>
  <c r="Q86" i="11"/>
  <c r="P187" i="11"/>
  <c r="AH78" i="11"/>
  <c r="AH179" i="11" s="1"/>
  <c r="AH83" i="11"/>
  <c r="AH184" i="11" s="1"/>
  <c r="Q81" i="11"/>
  <c r="P182" i="11"/>
  <c r="O183" i="11"/>
  <c r="AB82" i="11"/>
  <c r="P82" i="11"/>
  <c r="R80" i="11"/>
  <c r="Q181" i="11"/>
  <c r="AE78" i="11"/>
  <c r="AE179" i="11" s="1"/>
  <c r="AF83" i="11"/>
  <c r="AF184" i="11" s="1"/>
  <c r="AH86" i="11"/>
  <c r="AH187" i="11" s="1"/>
  <c r="Q84" i="11"/>
  <c r="P185" i="11"/>
  <c r="AF78" i="11"/>
  <c r="AF179" i="11" s="1"/>
  <c r="AG78" i="11"/>
  <c r="AG179" i="11" s="1"/>
  <c r="AD83" i="11"/>
  <c r="AD184" i="11" s="1"/>
  <c r="AE83" i="11"/>
  <c r="AE184" i="11" s="1"/>
  <c r="AF86" i="11"/>
  <c r="AF187" i="11" s="1"/>
  <c r="K37" i="21"/>
  <c r="N37" i="21" s="1"/>
  <c r="N116" i="6"/>
  <c r="Q83" i="11"/>
  <c r="P184" i="11"/>
  <c r="R79" i="11"/>
  <c r="Q180" i="11"/>
  <c r="AE62" i="11"/>
  <c r="AE163" i="11" s="1"/>
  <c r="AH62" i="11"/>
  <c r="AH163" i="11" s="1"/>
  <c r="AM62" i="11"/>
  <c r="AM163" i="11" s="1"/>
  <c r="AD62" i="11"/>
  <c r="AD163" i="11" s="1"/>
  <c r="AL62" i="11"/>
  <c r="AL163" i="11" s="1"/>
  <c r="AF62" i="11"/>
  <c r="AF163" i="11" s="1"/>
  <c r="AG62" i="11"/>
  <c r="AG163" i="11" s="1"/>
  <c r="AJ62" i="11"/>
  <c r="AJ163" i="11" s="1"/>
  <c r="AK62" i="11"/>
  <c r="AK163" i="11" s="1"/>
  <c r="AI62" i="11"/>
  <c r="AI163" i="11" s="1"/>
  <c r="AE72" i="11"/>
  <c r="AE173" i="11" s="1"/>
  <c r="E54" i="9"/>
  <c r="AH69" i="11"/>
  <c r="AH170" i="11" s="1"/>
  <c r="Z61" i="11"/>
  <c r="Z162" i="11" s="1"/>
  <c r="Q61" i="11"/>
  <c r="Q162" i="11" s="1"/>
  <c r="R61" i="11"/>
  <c r="R162" i="11" s="1"/>
  <c r="D26" i="7"/>
  <c r="AJ69" i="11"/>
  <c r="AJ170" i="11" s="1"/>
  <c r="G12" i="8"/>
  <c r="AG69" i="11"/>
  <c r="AG170" i="11" s="1"/>
  <c r="U61" i="11"/>
  <c r="U162" i="11" s="1"/>
  <c r="X61" i="11"/>
  <c r="X162" i="11" s="1"/>
  <c r="E129" i="7"/>
  <c r="AM69" i="11"/>
  <c r="AM170" i="11" s="1"/>
  <c r="AL69" i="11"/>
  <c r="AL170" i="11" s="1"/>
  <c r="V61" i="11"/>
  <c r="V162" i="11" s="1"/>
  <c r="AD72" i="11"/>
  <c r="AD173" i="11" s="1"/>
  <c r="E5" i="8"/>
  <c r="E38" i="9"/>
  <c r="E19" i="8"/>
  <c r="AD66" i="11"/>
  <c r="AD167" i="11" s="1"/>
  <c r="AG72" i="11"/>
  <c r="AG173" i="11" s="1"/>
  <c r="AI72" i="11"/>
  <c r="AI173" i="11" s="1"/>
  <c r="AF72" i="11"/>
  <c r="AF173" i="11" s="1"/>
  <c r="AK72" i="11"/>
  <c r="AK173" i="11" s="1"/>
  <c r="G20" i="8"/>
  <c r="G21" i="8"/>
  <c r="AM72" i="11"/>
  <c r="AM173" i="11" s="1"/>
  <c r="AJ72" i="11"/>
  <c r="AJ173" i="11" s="1"/>
  <c r="AL72" i="11"/>
  <c r="AL173" i="11" s="1"/>
  <c r="AF66" i="11"/>
  <c r="AF167" i="11" s="1"/>
  <c r="D21" i="7"/>
  <c r="E5" i="9"/>
  <c r="E124" i="7"/>
  <c r="AK71" i="11"/>
  <c r="AK172" i="11" s="1"/>
  <c r="AF69" i="11"/>
  <c r="AF170" i="11" s="1"/>
  <c r="AD69" i="11"/>
  <c r="AD170" i="11" s="1"/>
  <c r="AK69" i="11"/>
  <c r="AK170" i="11" s="1"/>
  <c r="AL66" i="11"/>
  <c r="AL167" i="11" s="1"/>
  <c r="AJ66" i="11"/>
  <c r="AJ167" i="11" s="1"/>
  <c r="AF70" i="11"/>
  <c r="AF171" i="11" s="1"/>
  <c r="AM66" i="11"/>
  <c r="AM167" i="11" s="1"/>
  <c r="AH66" i="11"/>
  <c r="AH167" i="11" s="1"/>
  <c r="E16" i="8"/>
  <c r="E17" i="9"/>
  <c r="E119" i="7"/>
  <c r="G11" i="8"/>
  <c r="E130" i="7"/>
  <c r="E14" i="7"/>
  <c r="AI71" i="11"/>
  <c r="AI172" i="11" s="1"/>
  <c r="AI69" i="11"/>
  <c r="AI170" i="11" s="1"/>
  <c r="AE69" i="11"/>
  <c r="AE170" i="11" s="1"/>
  <c r="AG66" i="11"/>
  <c r="AG167" i="11" s="1"/>
  <c r="AE66" i="11"/>
  <c r="AE167" i="11" s="1"/>
  <c r="G85" i="6"/>
  <c r="F117" i="6"/>
  <c r="M117" i="6" s="1"/>
  <c r="M38" i="21" s="1"/>
  <c r="M85" i="6"/>
  <c r="M6" i="21" s="1"/>
  <c r="AL71" i="11"/>
  <c r="AL172" i="11" s="1"/>
  <c r="AK74" i="11"/>
  <c r="AK175" i="11" s="1"/>
  <c r="AB174" i="11"/>
  <c r="E52" i="10"/>
  <c r="E72" i="2"/>
  <c r="E87" i="2"/>
  <c r="AH73" i="11"/>
  <c r="AH174" i="11" s="1"/>
  <c r="AE70" i="11"/>
  <c r="AE171" i="11" s="1"/>
  <c r="Y61" i="11"/>
  <c r="Y162" i="11" s="1"/>
  <c r="W61" i="11"/>
  <c r="W162" i="11" s="1"/>
  <c r="S61" i="11"/>
  <c r="S162" i="11" s="1"/>
  <c r="T61" i="11"/>
  <c r="T162" i="11" s="1"/>
  <c r="AB61" i="11"/>
  <c r="AB162" i="11" s="1"/>
  <c r="P61" i="11"/>
  <c r="P162" i="11" s="1"/>
  <c r="N86" i="6"/>
  <c r="J7" i="21"/>
  <c r="N7" i="21" s="1"/>
  <c r="U25" i="5"/>
  <c r="V25" i="5"/>
  <c r="N42" i="11" s="1"/>
  <c r="U7" i="5"/>
  <c r="V7" i="5"/>
  <c r="U23" i="5"/>
  <c r="V23" i="5"/>
  <c r="N40" i="11" s="1"/>
  <c r="N31" i="11"/>
  <c r="N30" i="11"/>
  <c r="N149" i="11"/>
  <c r="V48" i="11"/>
  <c r="V149" i="11" s="1"/>
  <c r="W48" i="11"/>
  <c r="W149" i="11" s="1"/>
  <c r="U48" i="11"/>
  <c r="U149" i="11" s="1"/>
  <c r="O48" i="11"/>
  <c r="X48" i="11"/>
  <c r="X149" i="11" s="1"/>
  <c r="Z48" i="11"/>
  <c r="Z149" i="11" s="1"/>
  <c r="T48" i="11"/>
  <c r="T149" i="11" s="1"/>
  <c r="P48" i="11"/>
  <c r="P149" i="11" s="1"/>
  <c r="R48" i="11"/>
  <c r="R149" i="11" s="1"/>
  <c r="Q48" i="11"/>
  <c r="Q149" i="11" s="1"/>
  <c r="S48" i="11"/>
  <c r="S149" i="11" s="1"/>
  <c r="Y48" i="11"/>
  <c r="Y149" i="11" s="1"/>
  <c r="G100" i="13"/>
  <c r="J100" i="13" s="1"/>
  <c r="L100" i="13" s="1"/>
  <c r="AH15" i="13"/>
  <c r="AG100" i="13" s="1"/>
  <c r="G98" i="13"/>
  <c r="J98" i="13" s="1"/>
  <c r="L98" i="13" s="1"/>
  <c r="AH13" i="13"/>
  <c r="AG98" i="13" s="1"/>
  <c r="G99" i="13"/>
  <c r="J99" i="13" s="1"/>
  <c r="L99" i="13" s="1"/>
  <c r="AH14" i="13"/>
  <c r="AG99" i="13" s="1"/>
  <c r="AG92" i="13"/>
  <c r="G95" i="13"/>
  <c r="J95" i="13" s="1"/>
  <c r="L95" i="13" s="1"/>
  <c r="AH10" i="13"/>
  <c r="AG95" i="13" s="1"/>
  <c r="AJ95" i="13" s="1"/>
  <c r="AL95" i="13" s="1"/>
  <c r="G93" i="13"/>
  <c r="AH8" i="13"/>
  <c r="AG93" i="13" s="1"/>
  <c r="AJ93" i="13" s="1"/>
  <c r="AL93" i="13" s="1"/>
  <c r="G97" i="13"/>
  <c r="J97" i="13" s="1"/>
  <c r="L97" i="13" s="1"/>
  <c r="E38" i="17" s="1"/>
  <c r="AH12" i="13"/>
  <c r="AG97" i="13" s="1"/>
  <c r="C157" i="21"/>
  <c r="AJ102" i="13"/>
  <c r="AL102" i="13" s="1"/>
  <c r="AA62" i="17" s="1"/>
  <c r="C24" i="15"/>
  <c r="C26" i="15"/>
  <c r="L392" i="21"/>
  <c r="L398" i="21" s="1"/>
  <c r="L424" i="21"/>
  <c r="L426" i="21" s="1"/>
  <c r="L434" i="21" s="1"/>
  <c r="E424" i="21"/>
  <c r="E426" i="21" s="1"/>
  <c r="E434" i="21" s="1"/>
  <c r="E392" i="21"/>
  <c r="E398" i="21" s="1"/>
  <c r="C31" i="15"/>
  <c r="C30" i="16"/>
  <c r="C390" i="21"/>
  <c r="C32" i="15"/>
  <c r="C25" i="15"/>
  <c r="C33" i="15"/>
  <c r="K392" i="21"/>
  <c r="K398" i="21" s="1"/>
  <c r="K424" i="21"/>
  <c r="K426" i="21" s="1"/>
  <c r="K434" i="21" s="1"/>
  <c r="F392" i="21"/>
  <c r="F398" i="21" s="1"/>
  <c r="F424" i="21"/>
  <c r="C28" i="15"/>
  <c r="C30" i="15"/>
  <c r="C29" i="15"/>
  <c r="H392" i="21"/>
  <c r="H398" i="21" s="1"/>
  <c r="H424" i="21"/>
  <c r="H426" i="21" s="1"/>
  <c r="H434" i="21" s="1"/>
  <c r="I424" i="21"/>
  <c r="I426" i="21" s="1"/>
  <c r="I434" i="21" s="1"/>
  <c r="I392" i="21"/>
  <c r="I398" i="21" s="1"/>
  <c r="J392" i="21"/>
  <c r="J398" i="21" s="1"/>
  <c r="J424" i="21"/>
  <c r="G424" i="21"/>
  <c r="G426" i="21" s="1"/>
  <c r="G434" i="21" s="1"/>
  <c r="G392" i="21"/>
  <c r="G398" i="21" s="1"/>
  <c r="D392" i="21"/>
  <c r="D398" i="21" s="1"/>
  <c r="D424" i="21"/>
  <c r="D426" i="21" s="1"/>
  <c r="D434" i="21" s="1"/>
  <c r="C27" i="15"/>
  <c r="AD100" i="13"/>
  <c r="AD98" i="13"/>
  <c r="AP7" i="13"/>
  <c r="AD92" i="13"/>
  <c r="AD18" i="13"/>
  <c r="AD101" i="13"/>
  <c r="AJ101" i="13" s="1"/>
  <c r="AL101" i="13" s="1"/>
  <c r="AD99" i="13"/>
  <c r="G102" i="13"/>
  <c r="J102" i="13" s="1"/>
  <c r="L102" i="13" s="1"/>
  <c r="AF73" i="11"/>
  <c r="AF174" i="11" s="1"/>
  <c r="AL74" i="11"/>
  <c r="AL175" i="11" s="1"/>
  <c r="AG73" i="11"/>
  <c r="AG174" i="11" s="1"/>
  <c r="AO94" i="11"/>
  <c r="AD73" i="11"/>
  <c r="AD174" i="11" s="1"/>
  <c r="AE73" i="11"/>
  <c r="AE174" i="11" s="1"/>
  <c r="AJ74" i="11"/>
  <c r="AJ175" i="11" s="1"/>
  <c r="AM74" i="11"/>
  <c r="AM175" i="11" s="1"/>
  <c r="AI74" i="11"/>
  <c r="AI175" i="11" s="1"/>
  <c r="AG70" i="11"/>
  <c r="AG171" i="11" s="1"/>
  <c r="AJ71" i="11"/>
  <c r="AJ172" i="11" s="1"/>
  <c r="AD70" i="11"/>
  <c r="AD171" i="11" s="1"/>
  <c r="AH70" i="11"/>
  <c r="AH171" i="11" s="1"/>
  <c r="AM71" i="11"/>
  <c r="AM172" i="11" s="1"/>
  <c r="AF63" i="11"/>
  <c r="AF164" i="11" s="1"/>
  <c r="AE63" i="11"/>
  <c r="AE164" i="11" s="1"/>
  <c r="AJ63" i="11"/>
  <c r="AJ164" i="11" s="1"/>
  <c r="AD63" i="11"/>
  <c r="AD164" i="11" s="1"/>
  <c r="AI63" i="11"/>
  <c r="AI164" i="11" s="1"/>
  <c r="AH63" i="11"/>
  <c r="AH164" i="11" s="1"/>
  <c r="AM63" i="11"/>
  <c r="AM164" i="11" s="1"/>
  <c r="AG63" i="11"/>
  <c r="AG164" i="11" s="1"/>
  <c r="AL63" i="11"/>
  <c r="AL164" i="11" s="1"/>
  <c r="AK63" i="11"/>
  <c r="AK164" i="11" s="1"/>
  <c r="AN68" i="11"/>
  <c r="AI67" i="11"/>
  <c r="AI168" i="11" s="1"/>
  <c r="AD67" i="11"/>
  <c r="AD168" i="11" s="1"/>
  <c r="AH67" i="11"/>
  <c r="AH168" i="11" s="1"/>
  <c r="AM67" i="11"/>
  <c r="AM168" i="11" s="1"/>
  <c r="AK67" i="11"/>
  <c r="AK168" i="11" s="1"/>
  <c r="AL67" i="11"/>
  <c r="AL168" i="11" s="1"/>
  <c r="AF67" i="11"/>
  <c r="AF168" i="11" s="1"/>
  <c r="AG67" i="11"/>
  <c r="AG168" i="11" s="1"/>
  <c r="AE67" i="11"/>
  <c r="AE168" i="11" s="1"/>
  <c r="AJ67" i="11"/>
  <c r="AJ168" i="11" s="1"/>
  <c r="AJ75" i="11"/>
  <c r="AJ176" i="11" s="1"/>
  <c r="AG76" i="11"/>
  <c r="AG177" i="11" s="1"/>
  <c r="AL75" i="11"/>
  <c r="AL176" i="11" s="1"/>
  <c r="AE76" i="11"/>
  <c r="AE177" i="11" s="1"/>
  <c r="AK75" i="11"/>
  <c r="AK176" i="11" s="1"/>
  <c r="AI75" i="11"/>
  <c r="AI176" i="11" s="1"/>
  <c r="AD76" i="11"/>
  <c r="AD177" i="11" s="1"/>
  <c r="AF76" i="11"/>
  <c r="AF177" i="11" s="1"/>
  <c r="AM75" i="11"/>
  <c r="AM176" i="11" s="1"/>
  <c r="AH76" i="11"/>
  <c r="AH177" i="11" s="1"/>
  <c r="AJ76" i="11"/>
  <c r="AJ177" i="11" s="1"/>
  <c r="AH75" i="11"/>
  <c r="AH176" i="11" s="1"/>
  <c r="AM76" i="11"/>
  <c r="AM177" i="11" s="1"/>
  <c r="AD75" i="11"/>
  <c r="AD176" i="11" s="1"/>
  <c r="AL76" i="11"/>
  <c r="AL177" i="11" s="1"/>
  <c r="AG75" i="11"/>
  <c r="AG176" i="11" s="1"/>
  <c r="AE75" i="11"/>
  <c r="AE176" i="11" s="1"/>
  <c r="AF75" i="11"/>
  <c r="AF176" i="11" s="1"/>
  <c r="AK76" i="11"/>
  <c r="AK177" i="11" s="1"/>
  <c r="AI76" i="11"/>
  <c r="AI177" i="11" s="1"/>
  <c r="AM64" i="11"/>
  <c r="AM165" i="11" s="1"/>
  <c r="AG64" i="11"/>
  <c r="AG165" i="11" s="1"/>
  <c r="AD64" i="11"/>
  <c r="AD165" i="11" s="1"/>
  <c r="AF64" i="11"/>
  <c r="AF165" i="11" s="1"/>
  <c r="AK64" i="11"/>
  <c r="AK165" i="11" s="1"/>
  <c r="AE64" i="11"/>
  <c r="AE165" i="11" s="1"/>
  <c r="AJ64" i="11"/>
  <c r="AJ165" i="11" s="1"/>
  <c r="AH64" i="11"/>
  <c r="AH165" i="11" s="1"/>
  <c r="AI64" i="11"/>
  <c r="AI165" i="11" s="1"/>
  <c r="AL64" i="11"/>
  <c r="AL165" i="11" s="1"/>
  <c r="P19" i="3"/>
  <c r="C5" i="16"/>
  <c r="C5" i="15"/>
  <c r="C207" i="21" s="1"/>
  <c r="D93" i="13"/>
  <c r="L27" i="10"/>
  <c r="Q91" i="11"/>
  <c r="Q194" i="11" s="1"/>
  <c r="P94" i="11"/>
  <c r="AV6" i="11" s="1"/>
  <c r="C395" i="21" s="1"/>
  <c r="G92" i="13"/>
  <c r="P7" i="13"/>
  <c r="C208" i="21" s="1"/>
  <c r="M22" i="4"/>
  <c r="M26" i="4" s="1"/>
  <c r="N22" i="4"/>
  <c r="N26" i="4" s="1"/>
  <c r="L20" i="4"/>
  <c r="Q9" i="4"/>
  <c r="R9" i="4" s="1"/>
  <c r="Q3" i="4"/>
  <c r="R3" i="4" s="1"/>
  <c r="N20" i="4"/>
  <c r="I27" i="4"/>
  <c r="Q14" i="4"/>
  <c r="R14" i="4" s="1"/>
  <c r="Q10" i="4"/>
  <c r="R10" i="4" s="1"/>
  <c r="Q24" i="4"/>
  <c r="R24" i="4" s="1"/>
  <c r="R21" i="4"/>
  <c r="O20" i="4"/>
  <c r="O27" i="4" s="1"/>
  <c r="M20" i="4"/>
  <c r="D18" i="13"/>
  <c r="H18" i="13"/>
  <c r="Q15" i="4"/>
  <c r="R15" i="4" s="1"/>
  <c r="Q4" i="4"/>
  <c r="R4" i="4" s="1"/>
  <c r="Q5" i="4"/>
  <c r="R5" i="4" s="1"/>
  <c r="Q17" i="4"/>
  <c r="R17" i="4" s="1"/>
  <c r="Q8" i="4"/>
  <c r="R8" i="4" s="1"/>
  <c r="Q22" i="4"/>
  <c r="Q13" i="4"/>
  <c r="R13" i="4" s="1"/>
  <c r="Q23" i="4"/>
  <c r="R23" i="4" s="1"/>
  <c r="Q16" i="4"/>
  <c r="R16" i="4" s="1"/>
  <c r="E132" i="7"/>
  <c r="E3" i="8"/>
  <c r="E83" i="7"/>
  <c r="E36" i="7"/>
  <c r="E133" i="7"/>
  <c r="G14" i="8"/>
  <c r="E125" i="7"/>
  <c r="D23" i="7"/>
  <c r="E123" i="7"/>
  <c r="E120" i="7"/>
  <c r="D24" i="7"/>
  <c r="G17" i="8"/>
  <c r="E18" i="8"/>
  <c r="G8" i="8"/>
  <c r="E74" i="7"/>
  <c r="E85" i="7"/>
  <c r="E118" i="7"/>
  <c r="E126" i="7"/>
  <c r="G13" i="8"/>
  <c r="E134" i="7"/>
  <c r="D27" i="7"/>
  <c r="G7" i="8"/>
  <c r="E122" i="7"/>
  <c r="E88" i="9"/>
  <c r="D25" i="7"/>
  <c r="E38" i="7"/>
  <c r="G5" i="8"/>
  <c r="E131" i="7"/>
  <c r="E27" i="9"/>
  <c r="G18" i="8"/>
  <c r="E21" i="8"/>
  <c r="E16" i="7"/>
  <c r="E111" i="7"/>
  <c r="E127" i="7"/>
  <c r="E4" i="8"/>
  <c r="D22" i="7"/>
  <c r="G10" i="8"/>
  <c r="G19" i="8"/>
  <c r="G9" i="8"/>
  <c r="T19" i="5"/>
  <c r="E121" i="7"/>
  <c r="T32" i="5"/>
  <c r="T15" i="5"/>
  <c r="T18" i="5"/>
  <c r="E128" i="7"/>
  <c r="T28" i="5"/>
  <c r="T8" i="5"/>
  <c r="V8" i="5" s="1"/>
  <c r="N15" i="11" s="1"/>
  <c r="T20" i="5"/>
  <c r="J6" i="6"/>
  <c r="C7" i="21" s="1"/>
  <c r="T26" i="5"/>
  <c r="T21" i="5"/>
  <c r="Q67" i="2"/>
  <c r="T16" i="5"/>
  <c r="G5" i="6"/>
  <c r="R6" i="6" s="1"/>
  <c r="M5" i="6"/>
  <c r="F6" i="21" s="1"/>
  <c r="F35" i="6"/>
  <c r="M35" i="6" s="1"/>
  <c r="F36" i="21" s="1"/>
  <c r="T33" i="5"/>
  <c r="T30" i="5"/>
  <c r="L28" i="6"/>
  <c r="G28" i="6"/>
  <c r="R9" i="6" s="1"/>
  <c r="E35" i="6"/>
  <c r="L35" i="6" s="1"/>
  <c r="E36" i="21" s="1"/>
  <c r="AN85" i="11" l="1"/>
  <c r="AO85" i="11" s="1"/>
  <c r="R92" i="11"/>
  <c r="R195" i="11" s="1"/>
  <c r="R20" i="4"/>
  <c r="AJ97" i="13"/>
  <c r="AL97" i="13" s="1"/>
  <c r="AA40" i="17" s="1"/>
  <c r="AE123" i="13"/>
  <c r="V29" i="5"/>
  <c r="N46" i="11" s="1"/>
  <c r="T12" i="5"/>
  <c r="Q36" i="5"/>
  <c r="F51" i="5" s="1"/>
  <c r="E61" i="7" s="1"/>
  <c r="T5" i="5"/>
  <c r="U5" i="5" s="1"/>
  <c r="N16" i="11"/>
  <c r="X16" i="11" s="1"/>
  <c r="X117" i="11" s="1"/>
  <c r="AD58" i="13"/>
  <c r="C168" i="21" s="1"/>
  <c r="C221" i="21"/>
  <c r="H220" i="21"/>
  <c r="C209" i="21"/>
  <c r="N207" i="21"/>
  <c r="C220" i="21"/>
  <c r="Q26" i="4"/>
  <c r="N27" i="4"/>
  <c r="E104" i="2"/>
  <c r="V11" i="5"/>
  <c r="N20" i="11" s="1"/>
  <c r="W20" i="11" s="1"/>
  <c r="W121" i="11" s="1"/>
  <c r="Q198" i="11"/>
  <c r="AN180" i="11"/>
  <c r="AO180" i="11" s="1"/>
  <c r="AN182" i="11"/>
  <c r="AO182" i="11" s="1"/>
  <c r="AN79" i="11"/>
  <c r="AO79" i="11" s="1"/>
  <c r="AN81" i="11"/>
  <c r="AO81" i="11" s="1"/>
  <c r="AN181" i="11"/>
  <c r="AO181" i="11" s="1"/>
  <c r="AN185" i="11"/>
  <c r="AO185" i="11" s="1"/>
  <c r="AN95" i="11"/>
  <c r="AN198" i="11" s="1"/>
  <c r="AN80" i="11"/>
  <c r="AO80" i="11" s="1"/>
  <c r="AN65" i="11"/>
  <c r="AN166" i="11" s="1"/>
  <c r="V6" i="5"/>
  <c r="U6" i="5"/>
  <c r="U14" i="5"/>
  <c r="V14" i="5"/>
  <c r="N26" i="11" s="1"/>
  <c r="U13" i="5"/>
  <c r="V13" i="5"/>
  <c r="V10" i="5"/>
  <c r="N18" i="11" s="1"/>
  <c r="S34" i="5"/>
  <c r="T34" i="5" s="1"/>
  <c r="N39" i="11"/>
  <c r="N38" i="11"/>
  <c r="U35" i="5"/>
  <c r="V35" i="5"/>
  <c r="N52" i="11" s="1"/>
  <c r="AB55" i="11"/>
  <c r="O156" i="11"/>
  <c r="AE53" i="11"/>
  <c r="AE154" i="11" s="1"/>
  <c r="AG53" i="11"/>
  <c r="AG154" i="11" s="1"/>
  <c r="AJ53" i="11"/>
  <c r="AJ154" i="11" s="1"/>
  <c r="AH53" i="11"/>
  <c r="AH154" i="11" s="1"/>
  <c r="AK53" i="11"/>
  <c r="AK154" i="11" s="1"/>
  <c r="AI53" i="11"/>
  <c r="AI154" i="11" s="1"/>
  <c r="AF53" i="11"/>
  <c r="AF154" i="11" s="1"/>
  <c r="AL53" i="11"/>
  <c r="AL154" i="11" s="1"/>
  <c r="AB154" i="11"/>
  <c r="AD53" i="11"/>
  <c r="AM53" i="11"/>
  <c r="AM154" i="11" s="1"/>
  <c r="O158" i="11"/>
  <c r="AB57" i="11"/>
  <c r="U27" i="5"/>
  <c r="V27" i="5"/>
  <c r="N44" i="11" s="1"/>
  <c r="AB54" i="11"/>
  <c r="O155" i="11"/>
  <c r="AB59" i="11"/>
  <c r="O160" i="11"/>
  <c r="U24" i="5"/>
  <c r="V24" i="5"/>
  <c r="N41" i="11" s="1"/>
  <c r="AB56" i="11"/>
  <c r="O157" i="11"/>
  <c r="AG60" i="11"/>
  <c r="AG161" i="11" s="1"/>
  <c r="AM60" i="11"/>
  <c r="AM161" i="11" s="1"/>
  <c r="AI60" i="11"/>
  <c r="AI161" i="11" s="1"/>
  <c r="AB161" i="11"/>
  <c r="AK60" i="11"/>
  <c r="AK161" i="11" s="1"/>
  <c r="AE60" i="11"/>
  <c r="AE161" i="11" s="1"/>
  <c r="AL60" i="11"/>
  <c r="AL161" i="11" s="1"/>
  <c r="AD60" i="11"/>
  <c r="AJ60" i="11"/>
  <c r="AJ161" i="11" s="1"/>
  <c r="AF60" i="11"/>
  <c r="AF161" i="11" s="1"/>
  <c r="AH60" i="11"/>
  <c r="AH161" i="11" s="1"/>
  <c r="AB58" i="11"/>
  <c r="O159" i="11"/>
  <c r="E29" i="17"/>
  <c r="E36" i="17"/>
  <c r="E32" i="17"/>
  <c r="AJ100" i="13"/>
  <c r="AL100" i="13" s="1"/>
  <c r="E33" i="17"/>
  <c r="E35" i="17"/>
  <c r="E34" i="17"/>
  <c r="E31" i="17"/>
  <c r="E30" i="17"/>
  <c r="AJ98" i="13"/>
  <c r="AL98" i="13" s="1"/>
  <c r="E41" i="17"/>
  <c r="E43" i="17"/>
  <c r="E44" i="17"/>
  <c r="E42" i="17"/>
  <c r="AJ99" i="13"/>
  <c r="AL99" i="13" s="1"/>
  <c r="E37" i="17"/>
  <c r="E39" i="17"/>
  <c r="E40" i="17"/>
  <c r="R89" i="11"/>
  <c r="Q192" i="11"/>
  <c r="N28" i="6"/>
  <c r="E29" i="21"/>
  <c r="G29" i="21" s="1"/>
  <c r="P197" i="11"/>
  <c r="AV107" i="11" s="1"/>
  <c r="C429" i="21" s="1"/>
  <c r="R88" i="11"/>
  <c r="Q191" i="11"/>
  <c r="R93" i="11"/>
  <c r="Q196" i="11"/>
  <c r="S90" i="11"/>
  <c r="R193" i="11"/>
  <c r="R78" i="11"/>
  <c r="R179" i="11" s="1"/>
  <c r="AN84" i="11"/>
  <c r="AO84" i="11" s="1"/>
  <c r="AN179" i="11"/>
  <c r="AO179" i="11" s="1"/>
  <c r="AN187" i="11"/>
  <c r="AO187" i="11" s="1"/>
  <c r="S79" i="11"/>
  <c r="R180" i="11"/>
  <c r="R83" i="11"/>
  <c r="Q184" i="11"/>
  <c r="R84" i="11"/>
  <c r="Q185" i="11"/>
  <c r="S80" i="11"/>
  <c r="R181" i="11"/>
  <c r="S95" i="11"/>
  <c r="R198" i="11"/>
  <c r="AB183" i="11"/>
  <c r="AG82" i="11"/>
  <c r="AG183" i="11" s="1"/>
  <c r="AH82" i="11"/>
  <c r="AD82" i="11"/>
  <c r="AF82" i="11"/>
  <c r="AE82" i="11"/>
  <c r="AE183" i="11" s="1"/>
  <c r="AN86" i="11"/>
  <c r="AO86" i="11" s="1"/>
  <c r="AN78" i="11"/>
  <c r="AO78" i="11" s="1"/>
  <c r="AN83" i="11"/>
  <c r="AO83" i="11" s="1"/>
  <c r="AN184" i="11"/>
  <c r="AO184" i="11" s="1"/>
  <c r="Q82" i="11"/>
  <c r="P183" i="11"/>
  <c r="P87" i="11"/>
  <c r="AU6" i="11" s="1"/>
  <c r="R81" i="11"/>
  <c r="Q182" i="11"/>
  <c r="R86" i="11"/>
  <c r="Q187" i="11"/>
  <c r="AN62" i="11"/>
  <c r="AO62" i="11" s="1"/>
  <c r="AO163" i="11" s="1"/>
  <c r="AH61" i="11"/>
  <c r="AH162" i="11" s="1"/>
  <c r="AG61" i="11"/>
  <c r="AG162" i="11" s="1"/>
  <c r="AM61" i="11"/>
  <c r="AM162" i="11" s="1"/>
  <c r="AL61" i="11"/>
  <c r="AL162" i="11" s="1"/>
  <c r="AE61" i="11"/>
  <c r="AE162" i="11" s="1"/>
  <c r="AD61" i="11"/>
  <c r="AD162" i="11" s="1"/>
  <c r="AF61" i="11"/>
  <c r="AF162" i="11" s="1"/>
  <c r="AJ61" i="11"/>
  <c r="AJ162" i="11" s="1"/>
  <c r="AN72" i="11"/>
  <c r="AO72" i="11" s="1"/>
  <c r="AO173" i="11" s="1"/>
  <c r="AI61" i="11"/>
  <c r="AI162" i="11" s="1"/>
  <c r="AK61" i="11"/>
  <c r="AK162" i="11" s="1"/>
  <c r="AN69" i="11"/>
  <c r="AO69" i="11" s="1"/>
  <c r="AO170" i="11" s="1"/>
  <c r="AN66" i="11"/>
  <c r="AO66" i="11" s="1"/>
  <c r="AO167" i="11" s="1"/>
  <c r="AN73" i="11"/>
  <c r="N85" i="6"/>
  <c r="N6" i="21" s="1"/>
  <c r="R86" i="6"/>
  <c r="U18" i="5"/>
  <c r="V18" i="5"/>
  <c r="U28" i="5"/>
  <c r="V28" i="5"/>
  <c r="N45" i="11" s="1"/>
  <c r="N147" i="11"/>
  <c r="V46" i="11"/>
  <c r="V147" i="11" s="1"/>
  <c r="T46" i="11"/>
  <c r="T147" i="11" s="1"/>
  <c r="U46" i="11"/>
  <c r="U147" i="11" s="1"/>
  <c r="Q46" i="11"/>
  <c r="Q147" i="11" s="1"/>
  <c r="Z46" i="11"/>
  <c r="Z147" i="11" s="1"/>
  <c r="X46" i="11"/>
  <c r="X147" i="11" s="1"/>
  <c r="Y46" i="11"/>
  <c r="Y147" i="11" s="1"/>
  <c r="W46" i="11"/>
  <c r="W147" i="11" s="1"/>
  <c r="P46" i="11"/>
  <c r="P147" i="11" s="1"/>
  <c r="O46" i="11"/>
  <c r="R46" i="11"/>
  <c r="R147" i="11" s="1"/>
  <c r="S46" i="11"/>
  <c r="S147" i="11" s="1"/>
  <c r="U12" i="5"/>
  <c r="V12" i="5"/>
  <c r="U20" i="5"/>
  <c r="V20" i="5"/>
  <c r="N36" i="11" s="1"/>
  <c r="U15" i="5"/>
  <c r="V15" i="5"/>
  <c r="N27" i="11" s="1"/>
  <c r="N13" i="11"/>
  <c r="N14" i="11"/>
  <c r="N12" i="11"/>
  <c r="N143" i="11"/>
  <c r="U42" i="11"/>
  <c r="U143" i="11" s="1"/>
  <c r="Z42" i="11"/>
  <c r="Z143" i="11" s="1"/>
  <c r="X42" i="11"/>
  <c r="X143" i="11" s="1"/>
  <c r="S42" i="11"/>
  <c r="S143" i="11" s="1"/>
  <c r="P42" i="11"/>
  <c r="P143" i="11" s="1"/>
  <c r="Y42" i="11"/>
  <c r="Y143" i="11" s="1"/>
  <c r="V42" i="11"/>
  <c r="V143" i="11" s="1"/>
  <c r="Q42" i="11"/>
  <c r="Q143" i="11" s="1"/>
  <c r="O42" i="11"/>
  <c r="R42" i="11"/>
  <c r="R143" i="11" s="1"/>
  <c r="W42" i="11"/>
  <c r="W143" i="11" s="1"/>
  <c r="T42" i="11"/>
  <c r="T143" i="11" s="1"/>
  <c r="U19" i="5"/>
  <c r="V19" i="5"/>
  <c r="N35" i="11" s="1"/>
  <c r="N19" i="11"/>
  <c r="N141" i="11"/>
  <c r="U40" i="11"/>
  <c r="U141" i="11" s="1"/>
  <c r="Z40" i="11"/>
  <c r="Z141" i="11" s="1"/>
  <c r="T40" i="11"/>
  <c r="T141" i="11" s="1"/>
  <c r="Q40" i="11"/>
  <c r="Q141" i="11" s="1"/>
  <c r="P40" i="11"/>
  <c r="P141" i="11" s="1"/>
  <c r="X40" i="11"/>
  <c r="X141" i="11" s="1"/>
  <c r="V40" i="11"/>
  <c r="V141" i="11" s="1"/>
  <c r="O40" i="11"/>
  <c r="S40" i="11"/>
  <c r="S141" i="11" s="1"/>
  <c r="R40" i="11"/>
  <c r="R141" i="11" s="1"/>
  <c r="W40" i="11"/>
  <c r="W141" i="11" s="1"/>
  <c r="Y40" i="11"/>
  <c r="Y141" i="11" s="1"/>
  <c r="U30" i="5"/>
  <c r="V30" i="5"/>
  <c r="N47" i="11" s="1"/>
  <c r="U21" i="5"/>
  <c r="V21" i="5"/>
  <c r="N37" i="11" s="1"/>
  <c r="U32" i="5"/>
  <c r="V32" i="5"/>
  <c r="N49" i="11" s="1"/>
  <c r="AB48" i="11"/>
  <c r="O149" i="11"/>
  <c r="N117" i="11"/>
  <c r="O16" i="11"/>
  <c r="Y16" i="11"/>
  <c r="Y117" i="11" s="1"/>
  <c r="Q16" i="11"/>
  <c r="Q117" i="11" s="1"/>
  <c r="W16" i="11"/>
  <c r="W117" i="11" s="1"/>
  <c r="U16" i="11"/>
  <c r="U117" i="11" s="1"/>
  <c r="V16" i="11"/>
  <c r="V117" i="11" s="1"/>
  <c r="N131" i="11"/>
  <c r="T30" i="11"/>
  <c r="T131" i="11" s="1"/>
  <c r="Z30" i="11"/>
  <c r="Z131" i="11" s="1"/>
  <c r="U30" i="11"/>
  <c r="U131" i="11" s="1"/>
  <c r="W30" i="11"/>
  <c r="W131" i="11" s="1"/>
  <c r="O30" i="11"/>
  <c r="R30" i="11"/>
  <c r="R131" i="11" s="1"/>
  <c r="X30" i="11"/>
  <c r="X131" i="11" s="1"/>
  <c r="Q30" i="11"/>
  <c r="Q131" i="11" s="1"/>
  <c r="P30" i="11"/>
  <c r="P131" i="11" s="1"/>
  <c r="Y30" i="11"/>
  <c r="Y131" i="11" s="1"/>
  <c r="V30" i="11"/>
  <c r="V131" i="11" s="1"/>
  <c r="S30" i="11"/>
  <c r="S131" i="11" s="1"/>
  <c r="P20" i="11"/>
  <c r="P121" i="11" s="1"/>
  <c r="Z20" i="11"/>
  <c r="Z121" i="11" s="1"/>
  <c r="T20" i="11"/>
  <c r="T121" i="11" s="1"/>
  <c r="S20" i="11"/>
  <c r="S121" i="11" s="1"/>
  <c r="U33" i="5"/>
  <c r="V33" i="5"/>
  <c r="N50" i="11" s="1"/>
  <c r="U16" i="5"/>
  <c r="V16" i="5"/>
  <c r="U26" i="5"/>
  <c r="V26" i="5"/>
  <c r="N43" i="11" s="1"/>
  <c r="N116" i="11"/>
  <c r="Q15" i="11"/>
  <c r="Q116" i="11" s="1"/>
  <c r="W15" i="11"/>
  <c r="W116" i="11" s="1"/>
  <c r="Z15" i="11"/>
  <c r="Z116" i="11" s="1"/>
  <c r="V15" i="11"/>
  <c r="V116" i="11" s="1"/>
  <c r="U15" i="11"/>
  <c r="U116" i="11" s="1"/>
  <c r="S15" i="11"/>
  <c r="S116" i="11" s="1"/>
  <c r="P15" i="11"/>
  <c r="P116" i="11" s="1"/>
  <c r="R15" i="11"/>
  <c r="R116" i="11" s="1"/>
  <c r="O15" i="11"/>
  <c r="X15" i="11"/>
  <c r="X116" i="11" s="1"/>
  <c r="Y15" i="11"/>
  <c r="Y116" i="11" s="1"/>
  <c r="T15" i="11"/>
  <c r="T116" i="11" s="1"/>
  <c r="N118" i="11"/>
  <c r="Q17" i="11"/>
  <c r="Q118" i="11" s="1"/>
  <c r="X17" i="11"/>
  <c r="X118" i="11" s="1"/>
  <c r="R17" i="11"/>
  <c r="R118" i="11" s="1"/>
  <c r="P17" i="11"/>
  <c r="P118" i="11" s="1"/>
  <c r="U17" i="11"/>
  <c r="U118" i="11" s="1"/>
  <c r="T17" i="11"/>
  <c r="T118" i="11" s="1"/>
  <c r="V17" i="11"/>
  <c r="V118" i="11" s="1"/>
  <c r="W17" i="11"/>
  <c r="W118" i="11" s="1"/>
  <c r="Y17" i="11"/>
  <c r="Y118" i="11" s="1"/>
  <c r="S17" i="11"/>
  <c r="S118" i="11" s="1"/>
  <c r="O17" i="11"/>
  <c r="Z17" i="11"/>
  <c r="Z118" i="11" s="1"/>
  <c r="N132" i="11"/>
  <c r="V31" i="11"/>
  <c r="V132" i="11" s="1"/>
  <c r="W31" i="11"/>
  <c r="W132" i="11" s="1"/>
  <c r="S31" i="11"/>
  <c r="S132" i="11" s="1"/>
  <c r="U31" i="11"/>
  <c r="U132" i="11" s="1"/>
  <c r="Z31" i="11"/>
  <c r="Z132" i="11" s="1"/>
  <c r="Q31" i="11"/>
  <c r="Q132" i="11" s="1"/>
  <c r="R31" i="11"/>
  <c r="R132" i="11" s="1"/>
  <c r="P31" i="11"/>
  <c r="P132" i="11" s="1"/>
  <c r="Y31" i="11"/>
  <c r="Y132" i="11" s="1"/>
  <c r="O31" i="11"/>
  <c r="T31" i="11"/>
  <c r="T132" i="11" s="1"/>
  <c r="X31" i="11"/>
  <c r="X132" i="11" s="1"/>
  <c r="AA5" i="17"/>
  <c r="AA11" i="17"/>
  <c r="AA15" i="17"/>
  <c r="AA19" i="17"/>
  <c r="AA16" i="17"/>
  <c r="AA10" i="17"/>
  <c r="AA20" i="17"/>
  <c r="AA9" i="17"/>
  <c r="AA13" i="17"/>
  <c r="AA17" i="17"/>
  <c r="AA18" i="17"/>
  <c r="AA8" i="17"/>
  <c r="AA12" i="17"/>
  <c r="AA14" i="17"/>
  <c r="AA7" i="17"/>
  <c r="AA6" i="17"/>
  <c r="AG103" i="13"/>
  <c r="D160" i="21"/>
  <c r="C160" i="21"/>
  <c r="AH18" i="13"/>
  <c r="AA65" i="17"/>
  <c r="AA63" i="17"/>
  <c r="AA64" i="17"/>
  <c r="AA60" i="17"/>
  <c r="AA54" i="17"/>
  <c r="AA67" i="17"/>
  <c r="AA57" i="17"/>
  <c r="AA55" i="17"/>
  <c r="AA68" i="17"/>
  <c r="AA66" i="17"/>
  <c r="AA53" i="17"/>
  <c r="AA56" i="17"/>
  <c r="AA61" i="17"/>
  <c r="AA58" i="17"/>
  <c r="AA59" i="17"/>
  <c r="AF120" i="13"/>
  <c r="D195" i="21" s="1"/>
  <c r="C195" i="21"/>
  <c r="D157" i="21"/>
  <c r="N390" i="21"/>
  <c r="C424" i="21"/>
  <c r="N424" i="21" s="1"/>
  <c r="J426" i="21"/>
  <c r="J434" i="21" s="1"/>
  <c r="F426" i="21"/>
  <c r="F434" i="21" s="1"/>
  <c r="AO68" i="11"/>
  <c r="AO169" i="11" s="1"/>
  <c r="AN169" i="11"/>
  <c r="AJ92" i="13"/>
  <c r="AD103" i="13"/>
  <c r="E54" i="17"/>
  <c r="E58" i="17"/>
  <c r="E62" i="17"/>
  <c r="E66" i="17"/>
  <c r="E56" i="17"/>
  <c r="E60" i="17"/>
  <c r="E64" i="17"/>
  <c r="E55" i="17"/>
  <c r="E59" i="17"/>
  <c r="E63" i="17"/>
  <c r="E67" i="17"/>
  <c r="E68" i="17"/>
  <c r="E53" i="17"/>
  <c r="E57" i="17"/>
  <c r="E61" i="17"/>
  <c r="E65" i="17"/>
  <c r="C16" i="15"/>
  <c r="C23" i="15"/>
  <c r="AN70" i="11"/>
  <c r="AN171" i="11" s="1"/>
  <c r="AN74" i="11"/>
  <c r="AN71" i="11"/>
  <c r="AN64" i="11"/>
  <c r="AN76" i="11"/>
  <c r="AN75" i="11"/>
  <c r="AN63" i="11"/>
  <c r="AN67" i="11"/>
  <c r="J93" i="13"/>
  <c r="L93" i="13" s="1"/>
  <c r="D103" i="13"/>
  <c r="R91" i="11"/>
  <c r="R194" i="11" s="1"/>
  <c r="Q94" i="11"/>
  <c r="AV7" i="11" s="1"/>
  <c r="D395" i="21" s="1"/>
  <c r="D58" i="13"/>
  <c r="C131" i="21" s="1"/>
  <c r="J92" i="13"/>
  <c r="G103" i="13"/>
  <c r="S92" i="11"/>
  <c r="S195" i="11" s="1"/>
  <c r="L27" i="4"/>
  <c r="M27" i="4"/>
  <c r="Q20" i="4"/>
  <c r="R22" i="4"/>
  <c r="R26" i="4" s="1"/>
  <c r="D28" i="7"/>
  <c r="E17" i="7" s="1"/>
  <c r="C17" i="7" s="1"/>
  <c r="E135" i="7"/>
  <c r="E112" i="7" s="1"/>
  <c r="U8" i="5"/>
  <c r="N5" i="6"/>
  <c r="G6" i="21" s="1"/>
  <c r="J10" i="6"/>
  <c r="C11" i="21" s="1"/>
  <c r="E82" i="7"/>
  <c r="AA33" i="17" l="1"/>
  <c r="AA31" i="17"/>
  <c r="AA34" i="17"/>
  <c r="AA41" i="17"/>
  <c r="AA37" i="17"/>
  <c r="AA43" i="17"/>
  <c r="AA32" i="17"/>
  <c r="AA30" i="17"/>
  <c r="AA42" i="17"/>
  <c r="AA36" i="17"/>
  <c r="AA39" i="17"/>
  <c r="AA29" i="17"/>
  <c r="AA38" i="17"/>
  <c r="AA35" i="17"/>
  <c r="AA44" i="17"/>
  <c r="AF123" i="13"/>
  <c r="D198" i="21" s="1"/>
  <c r="C198" i="21"/>
  <c r="R27" i="4"/>
  <c r="AO65" i="11"/>
  <c r="AO166" i="11" s="1"/>
  <c r="X20" i="11"/>
  <c r="X121" i="11" s="1"/>
  <c r="N121" i="11"/>
  <c r="E70" i="7"/>
  <c r="J11" i="6" s="1"/>
  <c r="C12" i="21" s="1"/>
  <c r="V5" i="5"/>
  <c r="N8" i="11" s="1"/>
  <c r="Y20" i="11"/>
  <c r="Y121" i="11" s="1"/>
  <c r="R16" i="11"/>
  <c r="R117" i="11" s="1"/>
  <c r="T16" i="11"/>
  <c r="T117" i="11" s="1"/>
  <c r="Z16" i="11"/>
  <c r="Z117" i="11" s="1"/>
  <c r="P16" i="11"/>
  <c r="P117" i="11" s="1"/>
  <c r="S16" i="11"/>
  <c r="S117" i="11" s="1"/>
  <c r="O20" i="11"/>
  <c r="O121" i="11" s="1"/>
  <c r="R20" i="11"/>
  <c r="R121" i="11" s="1"/>
  <c r="V20" i="11"/>
  <c r="V121" i="11" s="1"/>
  <c r="Q20" i="11"/>
  <c r="Q121" i="11" s="1"/>
  <c r="U20" i="11"/>
  <c r="U121" i="11" s="1"/>
  <c r="C212" i="21"/>
  <c r="C214" i="21" s="1"/>
  <c r="N220" i="21"/>
  <c r="C222" i="21"/>
  <c r="AO95" i="11"/>
  <c r="AO198" i="11" s="1"/>
  <c r="S78" i="11"/>
  <c r="S179" i="11" s="1"/>
  <c r="U34" i="5"/>
  <c r="V34" i="5"/>
  <c r="N51" i="11" s="1"/>
  <c r="N152" i="11" s="1"/>
  <c r="AN163" i="11"/>
  <c r="T36" i="5"/>
  <c r="F52" i="5" s="1"/>
  <c r="N25" i="11"/>
  <c r="Y25" i="11" s="1"/>
  <c r="Y126" i="11" s="1"/>
  <c r="X38" i="11"/>
  <c r="X139" i="11" s="1"/>
  <c r="Q38" i="11"/>
  <c r="Q139" i="11" s="1"/>
  <c r="U38" i="11"/>
  <c r="U139" i="11" s="1"/>
  <c r="Z38" i="11"/>
  <c r="Z139" i="11" s="1"/>
  <c r="V38" i="11"/>
  <c r="V139" i="11" s="1"/>
  <c r="T38" i="11"/>
  <c r="T139" i="11" s="1"/>
  <c r="P38" i="11"/>
  <c r="P139" i="11" s="1"/>
  <c r="Y38" i="11"/>
  <c r="Y139" i="11" s="1"/>
  <c r="R38" i="11"/>
  <c r="R139" i="11" s="1"/>
  <c r="N139" i="11"/>
  <c r="O38" i="11"/>
  <c r="S38" i="11"/>
  <c r="S139" i="11" s="1"/>
  <c r="W38" i="11"/>
  <c r="W139" i="11" s="1"/>
  <c r="T39" i="11"/>
  <c r="T140" i="11" s="1"/>
  <c r="X39" i="11"/>
  <c r="X140" i="11" s="1"/>
  <c r="R39" i="11"/>
  <c r="R140" i="11" s="1"/>
  <c r="W39" i="11"/>
  <c r="W140" i="11" s="1"/>
  <c r="Q39" i="11"/>
  <c r="Q140" i="11" s="1"/>
  <c r="Y39" i="11"/>
  <c r="Y140" i="11" s="1"/>
  <c r="P39" i="11"/>
  <c r="P140" i="11" s="1"/>
  <c r="S39" i="11"/>
  <c r="S140" i="11" s="1"/>
  <c r="N140" i="11"/>
  <c r="O39" i="11"/>
  <c r="Z39" i="11"/>
  <c r="Z140" i="11" s="1"/>
  <c r="U39" i="11"/>
  <c r="U140" i="11" s="1"/>
  <c r="V39" i="11"/>
  <c r="V140" i="11" s="1"/>
  <c r="N23" i="11"/>
  <c r="N24" i="11"/>
  <c r="N11" i="11"/>
  <c r="N10" i="11"/>
  <c r="N9" i="11"/>
  <c r="AL58" i="11"/>
  <c r="AL159" i="11" s="1"/>
  <c r="AE58" i="11"/>
  <c r="AE159" i="11" s="1"/>
  <c r="AK58" i="11"/>
  <c r="AK159" i="11" s="1"/>
  <c r="AJ58" i="11"/>
  <c r="AJ159" i="11" s="1"/>
  <c r="AF58" i="11"/>
  <c r="AF159" i="11" s="1"/>
  <c r="AI58" i="11"/>
  <c r="AI159" i="11" s="1"/>
  <c r="AD58" i="11"/>
  <c r="AB159" i="11"/>
  <c r="AM58" i="11"/>
  <c r="AM159" i="11" s="1"/>
  <c r="AH58" i="11"/>
  <c r="AH159" i="11" s="1"/>
  <c r="AG58" i="11"/>
  <c r="AG159" i="11" s="1"/>
  <c r="AD154" i="11"/>
  <c r="AN53" i="11"/>
  <c r="AB156" i="11"/>
  <c r="AG55" i="11"/>
  <c r="AK55" i="11"/>
  <c r="AK156" i="11" s="1"/>
  <c r="AL55" i="11"/>
  <c r="AL156" i="11" s="1"/>
  <c r="AJ55" i="11"/>
  <c r="AJ156" i="11" s="1"/>
  <c r="AI55" i="11"/>
  <c r="AI156" i="11" s="1"/>
  <c r="AM55" i="11"/>
  <c r="AM156" i="11" s="1"/>
  <c r="AH55" i="11"/>
  <c r="AH156" i="11" s="1"/>
  <c r="AD161" i="11"/>
  <c r="AN60" i="11"/>
  <c r="AI56" i="11"/>
  <c r="AI157" i="11" s="1"/>
  <c r="AH56" i="11"/>
  <c r="AH157" i="11" s="1"/>
  <c r="AD56" i="11"/>
  <c r="AM56" i="11"/>
  <c r="AM157" i="11" s="1"/>
  <c r="AK56" i="11"/>
  <c r="AK157" i="11" s="1"/>
  <c r="AJ56" i="11"/>
  <c r="AJ157" i="11" s="1"/>
  <c r="AE56" i="11"/>
  <c r="AE157" i="11" s="1"/>
  <c r="AG56" i="11"/>
  <c r="AG157" i="11" s="1"/>
  <c r="AF56" i="11"/>
  <c r="AF157" i="11" s="1"/>
  <c r="AB157" i="11"/>
  <c r="AL56" i="11"/>
  <c r="AL157" i="11" s="1"/>
  <c r="AH54" i="11"/>
  <c r="AH155" i="11" s="1"/>
  <c r="AL54" i="11"/>
  <c r="AL155" i="11" s="1"/>
  <c r="AM54" i="11"/>
  <c r="AM155" i="11" s="1"/>
  <c r="AI54" i="11"/>
  <c r="AI155" i="11" s="1"/>
  <c r="AJ54" i="11"/>
  <c r="AJ155" i="11" s="1"/>
  <c r="AF54" i="11"/>
  <c r="AF155" i="11" s="1"/>
  <c r="AG54" i="11"/>
  <c r="AG155" i="11" s="1"/>
  <c r="AE54" i="11"/>
  <c r="AE155" i="11" s="1"/>
  <c r="AK54" i="11"/>
  <c r="AK155" i="11" s="1"/>
  <c r="AB155" i="11"/>
  <c r="AD54" i="11"/>
  <c r="AL57" i="11"/>
  <c r="AL158" i="11" s="1"/>
  <c r="AK57" i="11"/>
  <c r="AK158" i="11" s="1"/>
  <c r="AB158" i="11"/>
  <c r="AG57" i="11"/>
  <c r="AJ57" i="11"/>
  <c r="AJ158" i="11" s="1"/>
  <c r="AH57" i="11"/>
  <c r="AH158" i="11" s="1"/>
  <c r="AI57" i="11"/>
  <c r="AI158" i="11" s="1"/>
  <c r="AM57" i="11"/>
  <c r="AM158" i="11" s="1"/>
  <c r="Z52" i="11"/>
  <c r="Z153" i="11" s="1"/>
  <c r="X52" i="11"/>
  <c r="X153" i="11" s="1"/>
  <c r="S52" i="11"/>
  <c r="S153" i="11" s="1"/>
  <c r="T52" i="11"/>
  <c r="T153" i="11" s="1"/>
  <c r="Q52" i="11"/>
  <c r="Q153" i="11" s="1"/>
  <c r="U52" i="11"/>
  <c r="U153" i="11" s="1"/>
  <c r="P52" i="11"/>
  <c r="P153" i="11" s="1"/>
  <c r="Y52" i="11"/>
  <c r="Y153" i="11" s="1"/>
  <c r="V52" i="11"/>
  <c r="V153" i="11" s="1"/>
  <c r="W52" i="11"/>
  <c r="W153" i="11" s="1"/>
  <c r="N153" i="11"/>
  <c r="O52" i="11"/>
  <c r="R52" i="11"/>
  <c r="R153" i="11" s="1"/>
  <c r="N142" i="11"/>
  <c r="O41" i="11"/>
  <c r="R41" i="11"/>
  <c r="R142" i="11" s="1"/>
  <c r="W41" i="11"/>
  <c r="W142" i="11" s="1"/>
  <c r="S41" i="11"/>
  <c r="S142" i="11" s="1"/>
  <c r="T41" i="11"/>
  <c r="T142" i="11" s="1"/>
  <c r="X41" i="11"/>
  <c r="X142" i="11" s="1"/>
  <c r="U41" i="11"/>
  <c r="U142" i="11" s="1"/>
  <c r="Y41" i="11"/>
  <c r="Y142" i="11" s="1"/>
  <c r="P41" i="11"/>
  <c r="P142" i="11" s="1"/>
  <c r="Z41" i="11"/>
  <c r="Z142" i="11" s="1"/>
  <c r="Q41" i="11"/>
  <c r="Q142" i="11" s="1"/>
  <c r="V41" i="11"/>
  <c r="V142" i="11" s="1"/>
  <c r="AL59" i="11"/>
  <c r="AL160" i="11" s="1"/>
  <c r="AK59" i="11"/>
  <c r="AK160" i="11" s="1"/>
  <c r="AB160" i="11"/>
  <c r="AI59" i="11"/>
  <c r="AM59" i="11"/>
  <c r="AM160" i="11" s="1"/>
  <c r="AJ59" i="11"/>
  <c r="AJ160" i="11" s="1"/>
  <c r="X44" i="11"/>
  <c r="X145" i="11" s="1"/>
  <c r="S44" i="11"/>
  <c r="S145" i="11" s="1"/>
  <c r="V44" i="11"/>
  <c r="V145" i="11" s="1"/>
  <c r="Y44" i="11"/>
  <c r="Y145" i="11" s="1"/>
  <c r="Q44" i="11"/>
  <c r="Q145" i="11" s="1"/>
  <c r="U44" i="11"/>
  <c r="U145" i="11" s="1"/>
  <c r="N145" i="11"/>
  <c r="O44" i="11"/>
  <c r="T44" i="11"/>
  <c r="T145" i="11" s="1"/>
  <c r="Z44" i="11"/>
  <c r="Z145" i="11" s="1"/>
  <c r="P44" i="11"/>
  <c r="P145" i="11" s="1"/>
  <c r="R44" i="11"/>
  <c r="R145" i="11" s="1"/>
  <c r="W44" i="11"/>
  <c r="W145" i="11" s="1"/>
  <c r="AJ103" i="13"/>
  <c r="Q197" i="11"/>
  <c r="AV108" i="11" s="1"/>
  <c r="D429" i="21" s="1"/>
  <c r="T90" i="11"/>
  <c r="S193" i="11"/>
  <c r="S88" i="11"/>
  <c r="R191" i="11"/>
  <c r="S89" i="11"/>
  <c r="R192" i="11"/>
  <c r="S93" i="11"/>
  <c r="R196" i="11"/>
  <c r="AG87" i="11"/>
  <c r="AE87" i="11"/>
  <c r="AH183" i="11"/>
  <c r="AH87" i="11"/>
  <c r="S198" i="11"/>
  <c r="T95" i="11"/>
  <c r="S84" i="11"/>
  <c r="R185" i="11"/>
  <c r="AF183" i="11"/>
  <c r="AF87" i="11"/>
  <c r="T80" i="11"/>
  <c r="S181" i="11"/>
  <c r="S83" i="11"/>
  <c r="R184" i="11"/>
  <c r="S86" i="11"/>
  <c r="R187" i="11"/>
  <c r="AD183" i="11"/>
  <c r="AN82" i="11"/>
  <c r="AO82" i="11" s="1"/>
  <c r="AO87" i="11" s="1"/>
  <c r="AD87" i="11"/>
  <c r="R82" i="11"/>
  <c r="Q183" i="11"/>
  <c r="Q87" i="11"/>
  <c r="AU7" i="11" s="1"/>
  <c r="S81" i="11"/>
  <c r="R182" i="11"/>
  <c r="T79" i="11"/>
  <c r="S180" i="11"/>
  <c r="AN167" i="11"/>
  <c r="AN173" i="11"/>
  <c r="AO70" i="11"/>
  <c r="AO171" i="11" s="1"/>
  <c r="AN170" i="11"/>
  <c r="AN61" i="11"/>
  <c r="AN162" i="11" s="1"/>
  <c r="AO63" i="11"/>
  <c r="AO164" i="11" s="1"/>
  <c r="AN164" i="11"/>
  <c r="AO76" i="11"/>
  <c r="AO177" i="11" s="1"/>
  <c r="AN177" i="11"/>
  <c r="AO71" i="11"/>
  <c r="AO172" i="11" s="1"/>
  <c r="AN172" i="11"/>
  <c r="AO75" i="11"/>
  <c r="AO176" i="11" s="1"/>
  <c r="AN176" i="11"/>
  <c r="AO64" i="11"/>
  <c r="AO165" i="11" s="1"/>
  <c r="AN165" i="11"/>
  <c r="AO74" i="11"/>
  <c r="AO175" i="11" s="1"/>
  <c r="AN175" i="11"/>
  <c r="AO73" i="11"/>
  <c r="AO174" i="11" s="1"/>
  <c r="AN174" i="11"/>
  <c r="AO67" i="11"/>
  <c r="AO168" i="11" s="1"/>
  <c r="AN168" i="11"/>
  <c r="N119" i="11"/>
  <c r="W18" i="11"/>
  <c r="W119" i="11" s="1"/>
  <c r="Z18" i="11"/>
  <c r="Z119" i="11" s="1"/>
  <c r="X18" i="11"/>
  <c r="X119" i="11" s="1"/>
  <c r="O18" i="11"/>
  <c r="T18" i="11"/>
  <c r="T119" i="11" s="1"/>
  <c r="Q18" i="11"/>
  <c r="Q119" i="11" s="1"/>
  <c r="P18" i="11"/>
  <c r="P119" i="11" s="1"/>
  <c r="S18" i="11"/>
  <c r="S119" i="11" s="1"/>
  <c r="R18" i="11"/>
  <c r="R119" i="11" s="1"/>
  <c r="Y18" i="11"/>
  <c r="Y119" i="11" s="1"/>
  <c r="V18" i="11"/>
  <c r="V119" i="11" s="1"/>
  <c r="U18" i="11"/>
  <c r="U119" i="11" s="1"/>
  <c r="AB42" i="11"/>
  <c r="O143" i="11"/>
  <c r="N114" i="11"/>
  <c r="T13" i="11"/>
  <c r="T114" i="11" s="1"/>
  <c r="Q13" i="11"/>
  <c r="Q114" i="11" s="1"/>
  <c r="R13" i="11"/>
  <c r="R114" i="11" s="1"/>
  <c r="Z13" i="11"/>
  <c r="Z114" i="11" s="1"/>
  <c r="O13" i="11"/>
  <c r="U13" i="11"/>
  <c r="U114" i="11" s="1"/>
  <c r="W13" i="11"/>
  <c r="W114" i="11" s="1"/>
  <c r="X13" i="11"/>
  <c r="X114" i="11" s="1"/>
  <c r="S13" i="11"/>
  <c r="S114" i="11" s="1"/>
  <c r="Y13" i="11"/>
  <c r="Y114" i="11" s="1"/>
  <c r="V13" i="11"/>
  <c r="V114" i="11" s="1"/>
  <c r="P13" i="11"/>
  <c r="P114" i="11" s="1"/>
  <c r="AB20" i="11"/>
  <c r="AB16" i="11"/>
  <c r="O117" i="11"/>
  <c r="N138" i="11"/>
  <c r="X37" i="11"/>
  <c r="X138" i="11" s="1"/>
  <c r="V37" i="11"/>
  <c r="V138" i="11" s="1"/>
  <c r="Z37" i="11"/>
  <c r="Z138" i="11" s="1"/>
  <c r="P37" i="11"/>
  <c r="P138" i="11" s="1"/>
  <c r="U37" i="11"/>
  <c r="U138" i="11" s="1"/>
  <c r="R37" i="11"/>
  <c r="R138" i="11" s="1"/>
  <c r="W37" i="11"/>
  <c r="W138" i="11" s="1"/>
  <c r="S37" i="11"/>
  <c r="S138" i="11" s="1"/>
  <c r="Y37" i="11"/>
  <c r="Y138" i="11" s="1"/>
  <c r="T37" i="11"/>
  <c r="T138" i="11" s="1"/>
  <c r="Q37" i="11"/>
  <c r="Q138" i="11" s="1"/>
  <c r="O37" i="11"/>
  <c r="AB40" i="11"/>
  <c r="O141" i="11"/>
  <c r="N120" i="11"/>
  <c r="X19" i="11"/>
  <c r="X120" i="11" s="1"/>
  <c r="T19" i="11"/>
  <c r="T120" i="11" s="1"/>
  <c r="W19" i="11"/>
  <c r="W120" i="11" s="1"/>
  <c r="Q19" i="11"/>
  <c r="Q120" i="11" s="1"/>
  <c r="Z19" i="11"/>
  <c r="Z120" i="11" s="1"/>
  <c r="P19" i="11"/>
  <c r="P120" i="11" s="1"/>
  <c r="R19" i="11"/>
  <c r="R120" i="11" s="1"/>
  <c r="U19" i="11"/>
  <c r="U120" i="11" s="1"/>
  <c r="S19" i="11"/>
  <c r="S120" i="11" s="1"/>
  <c r="Y19" i="11"/>
  <c r="Y120" i="11" s="1"/>
  <c r="V19" i="11"/>
  <c r="V120" i="11" s="1"/>
  <c r="O19" i="11"/>
  <c r="N128" i="11"/>
  <c r="V27" i="11"/>
  <c r="V128" i="11" s="1"/>
  <c r="T27" i="11"/>
  <c r="T128" i="11" s="1"/>
  <c r="P27" i="11"/>
  <c r="P128" i="11" s="1"/>
  <c r="O27" i="11"/>
  <c r="U27" i="11"/>
  <c r="U128" i="11" s="1"/>
  <c r="Z27" i="11"/>
  <c r="Z128" i="11" s="1"/>
  <c r="X27" i="11"/>
  <c r="X128" i="11" s="1"/>
  <c r="Q27" i="11"/>
  <c r="Q128" i="11" s="1"/>
  <c r="S27" i="11"/>
  <c r="S128" i="11" s="1"/>
  <c r="Y27" i="11"/>
  <c r="Y128" i="11" s="1"/>
  <c r="R27" i="11"/>
  <c r="R128" i="11" s="1"/>
  <c r="W27" i="11"/>
  <c r="W128" i="11" s="1"/>
  <c r="N21" i="11"/>
  <c r="N22" i="11"/>
  <c r="AB46" i="11"/>
  <c r="O147" i="11"/>
  <c r="AB15" i="11"/>
  <c r="O116" i="11"/>
  <c r="N144" i="11"/>
  <c r="Q43" i="11"/>
  <c r="Q144" i="11" s="1"/>
  <c r="R43" i="11"/>
  <c r="R144" i="11" s="1"/>
  <c r="O43" i="11"/>
  <c r="Y43" i="11"/>
  <c r="Y144" i="11" s="1"/>
  <c r="U43" i="11"/>
  <c r="U144" i="11" s="1"/>
  <c r="V43" i="11"/>
  <c r="V144" i="11" s="1"/>
  <c r="W43" i="11"/>
  <c r="W144" i="11" s="1"/>
  <c r="T43" i="11"/>
  <c r="T144" i="11" s="1"/>
  <c r="Z43" i="11"/>
  <c r="Z144" i="11" s="1"/>
  <c r="P43" i="11"/>
  <c r="P144" i="11" s="1"/>
  <c r="S43" i="11"/>
  <c r="S144" i="11" s="1"/>
  <c r="X43" i="11"/>
  <c r="X144" i="11" s="1"/>
  <c r="N151" i="11"/>
  <c r="Y50" i="11"/>
  <c r="Y151" i="11" s="1"/>
  <c r="Z50" i="11"/>
  <c r="Z151" i="11" s="1"/>
  <c r="X50" i="11"/>
  <c r="X151" i="11" s="1"/>
  <c r="O50" i="11"/>
  <c r="S50" i="11"/>
  <c r="S151" i="11" s="1"/>
  <c r="P50" i="11"/>
  <c r="P151" i="11" s="1"/>
  <c r="U50" i="11"/>
  <c r="U151" i="11" s="1"/>
  <c r="V50" i="11"/>
  <c r="V151" i="11" s="1"/>
  <c r="Q50" i="11"/>
  <c r="Q151" i="11" s="1"/>
  <c r="W50" i="11"/>
  <c r="W151" i="11" s="1"/>
  <c r="T50" i="11"/>
  <c r="T151" i="11" s="1"/>
  <c r="R50" i="11"/>
  <c r="R151" i="11" s="1"/>
  <c r="AB30" i="11"/>
  <c r="O131" i="11"/>
  <c r="AB149" i="11"/>
  <c r="AF48" i="11"/>
  <c r="AF149" i="11" s="1"/>
  <c r="AK48" i="11"/>
  <c r="AK149" i="11" s="1"/>
  <c r="AI48" i="11"/>
  <c r="AI149" i="11" s="1"/>
  <c r="AH48" i="11"/>
  <c r="AH149" i="11" s="1"/>
  <c r="AJ48" i="11"/>
  <c r="AJ149" i="11" s="1"/>
  <c r="AE48" i="11"/>
  <c r="AE149" i="11" s="1"/>
  <c r="AL48" i="11"/>
  <c r="AL149" i="11" s="1"/>
  <c r="AG48" i="11"/>
  <c r="AG149" i="11" s="1"/>
  <c r="AD48" i="11"/>
  <c r="AM48" i="11"/>
  <c r="AM149" i="11" s="1"/>
  <c r="N136" i="11"/>
  <c r="W35" i="11"/>
  <c r="W136" i="11" s="1"/>
  <c r="Y35" i="11"/>
  <c r="Y136" i="11" s="1"/>
  <c r="Q35" i="11"/>
  <c r="Q136" i="11" s="1"/>
  <c r="T35" i="11"/>
  <c r="T136" i="11" s="1"/>
  <c r="U35" i="11"/>
  <c r="U136" i="11" s="1"/>
  <c r="V35" i="11"/>
  <c r="V136" i="11" s="1"/>
  <c r="S35" i="11"/>
  <c r="S136" i="11" s="1"/>
  <c r="Z35" i="11"/>
  <c r="Z136" i="11" s="1"/>
  <c r="R35" i="11"/>
  <c r="R136" i="11" s="1"/>
  <c r="P35" i="11"/>
  <c r="P136" i="11" s="1"/>
  <c r="O35" i="11"/>
  <c r="X35" i="11"/>
  <c r="X136" i="11" s="1"/>
  <c r="N113" i="11"/>
  <c r="Z12" i="11"/>
  <c r="Z113" i="11" s="1"/>
  <c r="X12" i="11"/>
  <c r="X113" i="11" s="1"/>
  <c r="O12" i="11"/>
  <c r="W12" i="11"/>
  <c r="W113" i="11" s="1"/>
  <c r="S12" i="11"/>
  <c r="S113" i="11" s="1"/>
  <c r="Q12" i="11"/>
  <c r="Q113" i="11" s="1"/>
  <c r="P12" i="11"/>
  <c r="P113" i="11" s="1"/>
  <c r="V12" i="11"/>
  <c r="V113" i="11" s="1"/>
  <c r="Y12" i="11"/>
  <c r="Y113" i="11" s="1"/>
  <c r="U12" i="11"/>
  <c r="U113" i="11" s="1"/>
  <c r="R12" i="11"/>
  <c r="R113" i="11" s="1"/>
  <c r="T12" i="11"/>
  <c r="T113" i="11" s="1"/>
  <c r="N34" i="11"/>
  <c r="N32" i="11"/>
  <c r="N33" i="11"/>
  <c r="N29" i="11"/>
  <c r="N28" i="11"/>
  <c r="N146" i="11"/>
  <c r="U45" i="11"/>
  <c r="U146" i="11" s="1"/>
  <c r="Z45" i="11"/>
  <c r="Z146" i="11" s="1"/>
  <c r="O45" i="11"/>
  <c r="S45" i="11"/>
  <c r="S146" i="11" s="1"/>
  <c r="W45" i="11"/>
  <c r="W146" i="11" s="1"/>
  <c r="P45" i="11"/>
  <c r="P146" i="11" s="1"/>
  <c r="T45" i="11"/>
  <c r="T146" i="11" s="1"/>
  <c r="Y45" i="11"/>
  <c r="Y146" i="11" s="1"/>
  <c r="Q45" i="11"/>
  <c r="Q146" i="11" s="1"/>
  <c r="R45" i="11"/>
  <c r="R146" i="11" s="1"/>
  <c r="V45" i="11"/>
  <c r="V146" i="11" s="1"/>
  <c r="X45" i="11"/>
  <c r="X146" i="11" s="1"/>
  <c r="AB31" i="11"/>
  <c r="O132" i="11"/>
  <c r="AB17" i="11"/>
  <c r="O118" i="11"/>
  <c r="N127" i="11"/>
  <c r="T26" i="11"/>
  <c r="T127" i="11" s="1"/>
  <c r="Y26" i="11"/>
  <c r="Y127" i="11" s="1"/>
  <c r="S26" i="11"/>
  <c r="S127" i="11" s="1"/>
  <c r="O26" i="11"/>
  <c r="X26" i="11"/>
  <c r="X127" i="11" s="1"/>
  <c r="R26" i="11"/>
  <c r="R127" i="11" s="1"/>
  <c r="W26" i="11"/>
  <c r="W127" i="11" s="1"/>
  <c r="U26" i="11"/>
  <c r="U127" i="11" s="1"/>
  <c r="V26" i="11"/>
  <c r="V127" i="11" s="1"/>
  <c r="Z26" i="11"/>
  <c r="Z127" i="11" s="1"/>
  <c r="Q26" i="11"/>
  <c r="Q127" i="11" s="1"/>
  <c r="P26" i="11"/>
  <c r="P127" i="11" s="1"/>
  <c r="N150" i="11"/>
  <c r="S49" i="11"/>
  <c r="S150" i="11" s="1"/>
  <c r="U49" i="11"/>
  <c r="U150" i="11" s="1"/>
  <c r="Z49" i="11"/>
  <c r="Z150" i="11" s="1"/>
  <c r="T49" i="11"/>
  <c r="T150" i="11" s="1"/>
  <c r="Y49" i="11"/>
  <c r="Y150" i="11" s="1"/>
  <c r="Q49" i="11"/>
  <c r="Q150" i="11" s="1"/>
  <c r="R49" i="11"/>
  <c r="R150" i="11" s="1"/>
  <c r="X49" i="11"/>
  <c r="X150" i="11" s="1"/>
  <c r="V49" i="11"/>
  <c r="V150" i="11" s="1"/>
  <c r="P49" i="11"/>
  <c r="P150" i="11" s="1"/>
  <c r="O49" i="11"/>
  <c r="W49" i="11"/>
  <c r="W150" i="11" s="1"/>
  <c r="N148" i="11"/>
  <c r="W47" i="11"/>
  <c r="W148" i="11" s="1"/>
  <c r="U47" i="11"/>
  <c r="U148" i="11" s="1"/>
  <c r="V47" i="11"/>
  <c r="V148" i="11" s="1"/>
  <c r="S47" i="11"/>
  <c r="S148" i="11" s="1"/>
  <c r="P47" i="11"/>
  <c r="P148" i="11" s="1"/>
  <c r="T47" i="11"/>
  <c r="T148" i="11" s="1"/>
  <c r="Y47" i="11"/>
  <c r="Y148" i="11" s="1"/>
  <c r="Z47" i="11"/>
  <c r="Z148" i="11" s="1"/>
  <c r="X47" i="11"/>
  <c r="X148" i="11" s="1"/>
  <c r="Q47" i="11"/>
  <c r="Q148" i="11" s="1"/>
  <c r="O47" i="11"/>
  <c r="R47" i="11"/>
  <c r="R148" i="11" s="1"/>
  <c r="N115" i="11"/>
  <c r="Q14" i="11"/>
  <c r="Q115" i="11" s="1"/>
  <c r="T14" i="11"/>
  <c r="T115" i="11" s="1"/>
  <c r="P14" i="11"/>
  <c r="P115" i="11" s="1"/>
  <c r="O14" i="11"/>
  <c r="V14" i="11"/>
  <c r="V115" i="11" s="1"/>
  <c r="Y14" i="11"/>
  <c r="Y115" i="11" s="1"/>
  <c r="W14" i="11"/>
  <c r="W115" i="11" s="1"/>
  <c r="Z14" i="11"/>
  <c r="Z115" i="11" s="1"/>
  <c r="R14" i="11"/>
  <c r="R115" i="11" s="1"/>
  <c r="U14" i="11"/>
  <c r="U115" i="11" s="1"/>
  <c r="X14" i="11"/>
  <c r="X115" i="11" s="1"/>
  <c r="S14" i="11"/>
  <c r="S115" i="11" s="1"/>
  <c r="N137" i="11"/>
  <c r="V36" i="11"/>
  <c r="V137" i="11" s="1"/>
  <c r="P36" i="11"/>
  <c r="P137" i="11" s="1"/>
  <c r="X36" i="11"/>
  <c r="X137" i="11" s="1"/>
  <c r="Z36" i="11"/>
  <c r="Z137" i="11" s="1"/>
  <c r="U36" i="11"/>
  <c r="U137" i="11" s="1"/>
  <c r="Y36" i="11"/>
  <c r="Y137" i="11" s="1"/>
  <c r="Q36" i="11"/>
  <c r="Q137" i="11" s="1"/>
  <c r="T36" i="11"/>
  <c r="T137" i="11" s="1"/>
  <c r="S36" i="11"/>
  <c r="S137" i="11" s="1"/>
  <c r="R36" i="11"/>
  <c r="R137" i="11" s="1"/>
  <c r="W36" i="11"/>
  <c r="W137" i="11" s="1"/>
  <c r="O36" i="11"/>
  <c r="D27" i="13"/>
  <c r="D31" i="13"/>
  <c r="D25" i="13"/>
  <c r="D28" i="13"/>
  <c r="D32" i="13"/>
  <c r="D29" i="13"/>
  <c r="D33" i="13"/>
  <c r="D26" i="13"/>
  <c r="D30" i="13"/>
  <c r="D34" i="13"/>
  <c r="E105" i="2"/>
  <c r="F8" i="13"/>
  <c r="C34" i="15"/>
  <c r="E6" i="17"/>
  <c r="E10" i="17"/>
  <c r="E14" i="17"/>
  <c r="E18" i="17"/>
  <c r="E8" i="17"/>
  <c r="E12" i="17"/>
  <c r="E16" i="17"/>
  <c r="E20" i="17"/>
  <c r="E7" i="17"/>
  <c r="E11" i="17"/>
  <c r="E15" i="17"/>
  <c r="E19" i="17"/>
  <c r="E5" i="17"/>
  <c r="E9" i="17"/>
  <c r="E13" i="17"/>
  <c r="E17" i="17"/>
  <c r="S91" i="11"/>
  <c r="S194" i="11" s="1"/>
  <c r="R94" i="11"/>
  <c r="J103" i="13"/>
  <c r="T92" i="11"/>
  <c r="T195" i="11" s="1"/>
  <c r="F9" i="13"/>
  <c r="F13" i="13"/>
  <c r="F17" i="13"/>
  <c r="AF17" i="13" s="1"/>
  <c r="AD85" i="13" s="1"/>
  <c r="F10" i="13"/>
  <c r="F14" i="13"/>
  <c r="F11" i="13"/>
  <c r="F15" i="13"/>
  <c r="F12" i="13"/>
  <c r="F16" i="13"/>
  <c r="AF16" i="13" s="1"/>
  <c r="AD84" i="13" s="1"/>
  <c r="Q27" i="4"/>
  <c r="J8" i="6"/>
  <c r="C35" i="6"/>
  <c r="E4" i="19" s="1"/>
  <c r="G6" i="6"/>
  <c r="T78" i="11" l="1"/>
  <c r="T179" i="11" s="1"/>
  <c r="N7" i="11"/>
  <c r="N6" i="11"/>
  <c r="Q51" i="11"/>
  <c r="Q152" i="11" s="1"/>
  <c r="D20" i="14"/>
  <c r="D19" i="14" s="1"/>
  <c r="E113" i="13"/>
  <c r="F113" i="13" s="1"/>
  <c r="D6" i="14"/>
  <c r="D4" i="14" s="1"/>
  <c r="E107" i="13"/>
  <c r="F107" i="13" s="1"/>
  <c r="E4" i="10"/>
  <c r="M62" i="18"/>
  <c r="U51" i="11"/>
  <c r="U152" i="11" s="1"/>
  <c r="Z51" i="11"/>
  <c r="Z152" i="11" s="1"/>
  <c r="T51" i="11"/>
  <c r="T152" i="11" s="1"/>
  <c r="Y51" i="11"/>
  <c r="Y152" i="11" s="1"/>
  <c r="W51" i="11"/>
  <c r="W152" i="11" s="1"/>
  <c r="R51" i="11"/>
  <c r="R152" i="11" s="1"/>
  <c r="V51" i="11"/>
  <c r="V152" i="11" s="1"/>
  <c r="X51" i="11"/>
  <c r="X152" i="11" s="1"/>
  <c r="O51" i="11"/>
  <c r="P51" i="11"/>
  <c r="P152" i="11" s="1"/>
  <c r="S51" i="11"/>
  <c r="S152" i="11" s="1"/>
  <c r="R25" i="11"/>
  <c r="R126" i="11" s="1"/>
  <c r="S25" i="11"/>
  <c r="S126" i="11" s="1"/>
  <c r="X25" i="11"/>
  <c r="X126" i="11" s="1"/>
  <c r="U25" i="11"/>
  <c r="U126" i="11" s="1"/>
  <c r="N126" i="11"/>
  <c r="T25" i="11"/>
  <c r="T126" i="11" s="1"/>
  <c r="Q25" i="11"/>
  <c r="Q126" i="11" s="1"/>
  <c r="O25" i="11"/>
  <c r="AB25" i="11" s="1"/>
  <c r="Z25" i="11"/>
  <c r="Z126" i="11" s="1"/>
  <c r="P25" i="11"/>
  <c r="P126" i="11" s="1"/>
  <c r="V25" i="11"/>
  <c r="V126" i="11" s="1"/>
  <c r="W25" i="11"/>
  <c r="W126" i="11" s="1"/>
  <c r="R11" i="11"/>
  <c r="R112" i="11" s="1"/>
  <c r="W11" i="11"/>
  <c r="W112" i="11" s="1"/>
  <c r="Q11" i="11"/>
  <c r="Q112" i="11" s="1"/>
  <c r="Z11" i="11"/>
  <c r="Z112" i="11" s="1"/>
  <c r="O11" i="11"/>
  <c r="U11" i="11"/>
  <c r="U112" i="11" s="1"/>
  <c r="V11" i="11"/>
  <c r="V112" i="11" s="1"/>
  <c r="N112" i="11"/>
  <c r="S11" i="11"/>
  <c r="S112" i="11" s="1"/>
  <c r="P11" i="11"/>
  <c r="P112" i="11" s="1"/>
  <c r="X11" i="11"/>
  <c r="X112" i="11" s="1"/>
  <c r="Y11" i="11"/>
  <c r="Y112" i="11" s="1"/>
  <c r="T11" i="11"/>
  <c r="T112" i="11" s="1"/>
  <c r="S9" i="11"/>
  <c r="S110" i="11" s="1"/>
  <c r="W9" i="11"/>
  <c r="W110" i="11" s="1"/>
  <c r="R9" i="11"/>
  <c r="R110" i="11" s="1"/>
  <c r="N110" i="11"/>
  <c r="V9" i="11"/>
  <c r="V110" i="11" s="1"/>
  <c r="Q9" i="11"/>
  <c r="Q110" i="11" s="1"/>
  <c r="Z9" i="11"/>
  <c r="Z110" i="11" s="1"/>
  <c r="T9" i="11"/>
  <c r="T110" i="11" s="1"/>
  <c r="P9" i="11"/>
  <c r="P110" i="11" s="1"/>
  <c r="Y9" i="11"/>
  <c r="Y110" i="11" s="1"/>
  <c r="O9" i="11"/>
  <c r="X9" i="11"/>
  <c r="X110" i="11" s="1"/>
  <c r="U9" i="11"/>
  <c r="U110" i="11" s="1"/>
  <c r="P24" i="11"/>
  <c r="P125" i="11" s="1"/>
  <c r="Y24" i="11"/>
  <c r="Y125" i="11" s="1"/>
  <c r="T24" i="11"/>
  <c r="T125" i="11" s="1"/>
  <c r="U24" i="11"/>
  <c r="U125" i="11" s="1"/>
  <c r="N125" i="11"/>
  <c r="Q24" i="11"/>
  <c r="Q125" i="11" s="1"/>
  <c r="Z24" i="11"/>
  <c r="Z125" i="11" s="1"/>
  <c r="S24" i="11"/>
  <c r="S125" i="11" s="1"/>
  <c r="W24" i="11"/>
  <c r="W125" i="11" s="1"/>
  <c r="X24" i="11"/>
  <c r="X125" i="11" s="1"/>
  <c r="V24" i="11"/>
  <c r="V125" i="11" s="1"/>
  <c r="O24" i="11"/>
  <c r="R24" i="11"/>
  <c r="R125" i="11" s="1"/>
  <c r="AB38" i="11"/>
  <c r="O139" i="11"/>
  <c r="T10" i="11"/>
  <c r="T111" i="11" s="1"/>
  <c r="Y10" i="11"/>
  <c r="Y111" i="11" s="1"/>
  <c r="U10" i="11"/>
  <c r="U111" i="11" s="1"/>
  <c r="O10" i="11"/>
  <c r="X10" i="11"/>
  <c r="X111" i="11" s="1"/>
  <c r="Q10" i="11"/>
  <c r="Q111" i="11" s="1"/>
  <c r="V10" i="11"/>
  <c r="V111" i="11" s="1"/>
  <c r="S10" i="11"/>
  <c r="S111" i="11" s="1"/>
  <c r="P10" i="11"/>
  <c r="P111" i="11" s="1"/>
  <c r="W10" i="11"/>
  <c r="W111" i="11" s="1"/>
  <c r="Z10" i="11"/>
  <c r="Z111" i="11" s="1"/>
  <c r="N111" i="11"/>
  <c r="R10" i="11"/>
  <c r="R111" i="11" s="1"/>
  <c r="Y23" i="11"/>
  <c r="Y124" i="11" s="1"/>
  <c r="S23" i="11"/>
  <c r="S124" i="11" s="1"/>
  <c r="U23" i="11"/>
  <c r="U124" i="11" s="1"/>
  <c r="P23" i="11"/>
  <c r="P124" i="11" s="1"/>
  <c r="R23" i="11"/>
  <c r="R124" i="11" s="1"/>
  <c r="T23" i="11"/>
  <c r="T124" i="11" s="1"/>
  <c r="Z23" i="11"/>
  <c r="Z124" i="11" s="1"/>
  <c r="N124" i="11"/>
  <c r="X23" i="11"/>
  <c r="X124" i="11" s="1"/>
  <c r="O23" i="11"/>
  <c r="V23" i="11"/>
  <c r="V124" i="11" s="1"/>
  <c r="Q23" i="11"/>
  <c r="Q124" i="11" s="1"/>
  <c r="W23" i="11"/>
  <c r="W124" i="11" s="1"/>
  <c r="AB39" i="11"/>
  <c r="O140" i="11"/>
  <c r="AB41" i="11"/>
  <c r="O142" i="11"/>
  <c r="AI160" i="11"/>
  <c r="AN59" i="11"/>
  <c r="AN161" i="11"/>
  <c r="AO60" i="11"/>
  <c r="AO161" i="11" s="1"/>
  <c r="AN55" i="11"/>
  <c r="AG156" i="11"/>
  <c r="AD157" i="11"/>
  <c r="AN56" i="11"/>
  <c r="AD159" i="11"/>
  <c r="AN58" i="11"/>
  <c r="O145" i="11"/>
  <c r="AB44" i="11"/>
  <c r="AB52" i="11"/>
  <c r="O153" i="11"/>
  <c r="AG158" i="11"/>
  <c r="AN57" i="11"/>
  <c r="AD155" i="11"/>
  <c r="AN54" i="11"/>
  <c r="AN154" i="11"/>
  <c r="AO53" i="11"/>
  <c r="AO154" i="11" s="1"/>
  <c r="M65" i="18"/>
  <c r="M58" i="18"/>
  <c r="M66" i="18"/>
  <c r="M59" i="18"/>
  <c r="M63" i="18"/>
  <c r="M67" i="18"/>
  <c r="M60" i="18"/>
  <c r="M64" i="18"/>
  <c r="M57" i="18"/>
  <c r="M61" i="18"/>
  <c r="U90" i="11"/>
  <c r="T193" i="11"/>
  <c r="T88" i="11"/>
  <c r="S191" i="11"/>
  <c r="T89" i="11"/>
  <c r="S192" i="11"/>
  <c r="T93" i="11"/>
  <c r="S196" i="11"/>
  <c r="R197" i="11"/>
  <c r="AV109" i="11" s="1"/>
  <c r="E429" i="21" s="1"/>
  <c r="AN87" i="11"/>
  <c r="S82" i="11"/>
  <c r="S87" i="11" s="1"/>
  <c r="AU9" i="11" s="1"/>
  <c r="R183" i="11"/>
  <c r="R87" i="11"/>
  <c r="AU8" i="11" s="1"/>
  <c r="T83" i="11"/>
  <c r="S184" i="11"/>
  <c r="U95" i="11"/>
  <c r="T198" i="11"/>
  <c r="T81" i="11"/>
  <c r="S182" i="11"/>
  <c r="T86" i="11"/>
  <c r="S187" i="11"/>
  <c r="U80" i="11"/>
  <c r="T181" i="11"/>
  <c r="U79" i="11"/>
  <c r="T180" i="11"/>
  <c r="AN183" i="11"/>
  <c r="AO183" i="11" s="1"/>
  <c r="T84" i="11"/>
  <c r="S185" i="11"/>
  <c r="AO61" i="11"/>
  <c r="AO162" i="11" s="1"/>
  <c r="N6" i="6"/>
  <c r="N35" i="6" s="1"/>
  <c r="C9" i="21"/>
  <c r="G7" i="21" s="1"/>
  <c r="G36" i="21" s="1"/>
  <c r="AB45" i="11"/>
  <c r="O146" i="11"/>
  <c r="N122" i="11"/>
  <c r="Q21" i="11"/>
  <c r="Q122" i="11" s="1"/>
  <c r="R21" i="11"/>
  <c r="R122" i="11" s="1"/>
  <c r="T21" i="11"/>
  <c r="T122" i="11" s="1"/>
  <c r="P21" i="11"/>
  <c r="P122" i="11" s="1"/>
  <c r="Z21" i="11"/>
  <c r="Z122" i="11" s="1"/>
  <c r="U21" i="11"/>
  <c r="U122" i="11" s="1"/>
  <c r="W21" i="11"/>
  <c r="W122" i="11" s="1"/>
  <c r="V21" i="11"/>
  <c r="V122" i="11" s="1"/>
  <c r="O21" i="11"/>
  <c r="Y21" i="11"/>
  <c r="Y122" i="11" s="1"/>
  <c r="S21" i="11"/>
  <c r="S122" i="11" s="1"/>
  <c r="X21" i="11"/>
  <c r="X122" i="11" s="1"/>
  <c r="AB49" i="11"/>
  <c r="O150" i="11"/>
  <c r="AB26" i="11"/>
  <c r="O127" i="11"/>
  <c r="AB118" i="11"/>
  <c r="AH17" i="11"/>
  <c r="AH118" i="11" s="1"/>
  <c r="AJ17" i="11"/>
  <c r="AJ118" i="11" s="1"/>
  <c r="AK17" i="11"/>
  <c r="AK118" i="11" s="1"/>
  <c r="AL17" i="11"/>
  <c r="AL118" i="11" s="1"/>
  <c r="AM17" i="11"/>
  <c r="AM118" i="11" s="1"/>
  <c r="AI17" i="11"/>
  <c r="AI118" i="11" s="1"/>
  <c r="AG17" i="11"/>
  <c r="N130" i="11"/>
  <c r="Y29" i="11"/>
  <c r="Y130" i="11" s="1"/>
  <c r="Z29" i="11"/>
  <c r="Z130" i="11" s="1"/>
  <c r="Q29" i="11"/>
  <c r="Q130" i="11" s="1"/>
  <c r="O29" i="11"/>
  <c r="U29" i="11"/>
  <c r="U130" i="11" s="1"/>
  <c r="S29" i="11"/>
  <c r="S130" i="11" s="1"/>
  <c r="V29" i="11"/>
  <c r="V130" i="11" s="1"/>
  <c r="T29" i="11"/>
  <c r="T130" i="11" s="1"/>
  <c r="R29" i="11"/>
  <c r="R130" i="11" s="1"/>
  <c r="X29" i="11"/>
  <c r="X130" i="11" s="1"/>
  <c r="P29" i="11"/>
  <c r="P130" i="11" s="1"/>
  <c r="W29" i="11"/>
  <c r="W130" i="11" s="1"/>
  <c r="N134" i="11"/>
  <c r="T33" i="11"/>
  <c r="T134" i="11" s="1"/>
  <c r="W33" i="11"/>
  <c r="W134" i="11" s="1"/>
  <c r="R33" i="11"/>
  <c r="R134" i="11" s="1"/>
  <c r="X33" i="11"/>
  <c r="X134" i="11" s="1"/>
  <c r="Q33" i="11"/>
  <c r="Q134" i="11" s="1"/>
  <c r="Z33" i="11"/>
  <c r="Z134" i="11" s="1"/>
  <c r="Y33" i="11"/>
  <c r="Y134" i="11" s="1"/>
  <c r="O33" i="11"/>
  <c r="S33" i="11"/>
  <c r="S134" i="11" s="1"/>
  <c r="P33" i="11"/>
  <c r="P134" i="11" s="1"/>
  <c r="V33" i="11"/>
  <c r="V134" i="11" s="1"/>
  <c r="U33" i="11"/>
  <c r="U134" i="11" s="1"/>
  <c r="AB12" i="11"/>
  <c r="O113" i="11"/>
  <c r="N108" i="11"/>
  <c r="Y7" i="11"/>
  <c r="Y108" i="11" s="1"/>
  <c r="X7" i="11"/>
  <c r="X108" i="11" s="1"/>
  <c r="P7" i="11"/>
  <c r="P108" i="11" s="1"/>
  <c r="W7" i="11"/>
  <c r="W108" i="11" s="1"/>
  <c r="R7" i="11"/>
  <c r="R108" i="11" s="1"/>
  <c r="T7" i="11"/>
  <c r="T108" i="11" s="1"/>
  <c r="O7" i="11"/>
  <c r="Q7" i="11"/>
  <c r="Q108" i="11" s="1"/>
  <c r="Z7" i="11"/>
  <c r="Z108" i="11" s="1"/>
  <c r="V7" i="11"/>
  <c r="V108" i="11" s="1"/>
  <c r="S7" i="11"/>
  <c r="S108" i="11" s="1"/>
  <c r="U7" i="11"/>
  <c r="U108" i="11" s="1"/>
  <c r="AB27" i="11"/>
  <c r="O128" i="11"/>
  <c r="AB117" i="11"/>
  <c r="AM16" i="11"/>
  <c r="AM117" i="11" s="1"/>
  <c r="AG16" i="11"/>
  <c r="AG117" i="11" s="1"/>
  <c r="AF16" i="11"/>
  <c r="AF117" i="11" s="1"/>
  <c r="AH16" i="11"/>
  <c r="AH117" i="11" s="1"/>
  <c r="AE16" i="11"/>
  <c r="AE117" i="11" s="1"/>
  <c r="AJ16" i="11"/>
  <c r="AJ117" i="11" s="1"/>
  <c r="AK16" i="11"/>
  <c r="AK117" i="11" s="1"/>
  <c r="AI16" i="11"/>
  <c r="AI117" i="11" s="1"/>
  <c r="AD16" i="11"/>
  <c r="AL16" i="11"/>
  <c r="AL117" i="11" s="1"/>
  <c r="N129" i="11"/>
  <c r="X28" i="11"/>
  <c r="X129" i="11" s="1"/>
  <c r="R28" i="11"/>
  <c r="R129" i="11" s="1"/>
  <c r="S28" i="11"/>
  <c r="S129" i="11" s="1"/>
  <c r="W28" i="11"/>
  <c r="W129" i="11" s="1"/>
  <c r="Q28" i="11"/>
  <c r="Q129" i="11" s="1"/>
  <c r="V28" i="11"/>
  <c r="V129" i="11" s="1"/>
  <c r="O28" i="11"/>
  <c r="Y28" i="11"/>
  <c r="Y129" i="11" s="1"/>
  <c r="Z28" i="11"/>
  <c r="Z129" i="11" s="1"/>
  <c r="U28" i="11"/>
  <c r="U129" i="11" s="1"/>
  <c r="T28" i="11"/>
  <c r="T129" i="11" s="1"/>
  <c r="P28" i="11"/>
  <c r="P129" i="11" s="1"/>
  <c r="N109" i="11"/>
  <c r="X8" i="11"/>
  <c r="X109" i="11" s="1"/>
  <c r="Z8" i="11"/>
  <c r="Z109" i="11" s="1"/>
  <c r="S8" i="11"/>
  <c r="S109" i="11" s="1"/>
  <c r="T8" i="11"/>
  <c r="T109" i="11" s="1"/>
  <c r="P8" i="11"/>
  <c r="P109" i="11" s="1"/>
  <c r="U8" i="11"/>
  <c r="U109" i="11" s="1"/>
  <c r="O8" i="11"/>
  <c r="W8" i="11"/>
  <c r="W109" i="11" s="1"/>
  <c r="Q8" i="11"/>
  <c r="Q109" i="11" s="1"/>
  <c r="R8" i="11"/>
  <c r="R109" i="11" s="1"/>
  <c r="V8" i="11"/>
  <c r="V109" i="11" s="1"/>
  <c r="Y8" i="11"/>
  <c r="Y109" i="11" s="1"/>
  <c r="AB147" i="11"/>
  <c r="AH46" i="11"/>
  <c r="AH147" i="11" s="1"/>
  <c r="AM46" i="11"/>
  <c r="AM147" i="11" s="1"/>
  <c r="AD46" i="11"/>
  <c r="AI46" i="11"/>
  <c r="AI147" i="11" s="1"/>
  <c r="AK46" i="11"/>
  <c r="AK147" i="11" s="1"/>
  <c r="AL46" i="11"/>
  <c r="AL147" i="11" s="1"/>
  <c r="AG46" i="11"/>
  <c r="AG147" i="11" s="1"/>
  <c r="AF46" i="11"/>
  <c r="AF147" i="11" s="1"/>
  <c r="AE46" i="11"/>
  <c r="AE147" i="11" s="1"/>
  <c r="AJ46" i="11"/>
  <c r="AJ147" i="11" s="1"/>
  <c r="AB36" i="11"/>
  <c r="O137" i="11"/>
  <c r="N133" i="11"/>
  <c r="R32" i="11"/>
  <c r="R133" i="11" s="1"/>
  <c r="P32" i="11"/>
  <c r="P133" i="11" s="1"/>
  <c r="O32" i="11"/>
  <c r="V32" i="11"/>
  <c r="V133" i="11" s="1"/>
  <c r="W32" i="11"/>
  <c r="W133" i="11" s="1"/>
  <c r="S32" i="11"/>
  <c r="S133" i="11" s="1"/>
  <c r="U32" i="11"/>
  <c r="U133" i="11" s="1"/>
  <c r="Z32" i="11"/>
  <c r="Z133" i="11" s="1"/>
  <c r="T32" i="11"/>
  <c r="T133" i="11" s="1"/>
  <c r="Q32" i="11"/>
  <c r="Q133" i="11" s="1"/>
  <c r="X32" i="11"/>
  <c r="X133" i="11" s="1"/>
  <c r="Y32" i="11"/>
  <c r="Y133" i="11" s="1"/>
  <c r="AB35" i="11"/>
  <c r="O136" i="11"/>
  <c r="AB131" i="11"/>
  <c r="AK30" i="11"/>
  <c r="AK131" i="11" s="1"/>
  <c r="AJ30" i="11"/>
  <c r="AJ131" i="11" s="1"/>
  <c r="AD30" i="11"/>
  <c r="AG30" i="11"/>
  <c r="AG131" i="11" s="1"/>
  <c r="AF30" i="11"/>
  <c r="AF131" i="11" s="1"/>
  <c r="AH30" i="11"/>
  <c r="AH131" i="11" s="1"/>
  <c r="AE30" i="11"/>
  <c r="AE131" i="11" s="1"/>
  <c r="AL30" i="11"/>
  <c r="AL131" i="11" s="1"/>
  <c r="AM30" i="11"/>
  <c r="AM131" i="11" s="1"/>
  <c r="AI30" i="11"/>
  <c r="AI131" i="11" s="1"/>
  <c r="AB50" i="11"/>
  <c r="O151" i="11"/>
  <c r="N107" i="11"/>
  <c r="Z6" i="11"/>
  <c r="T6" i="11"/>
  <c r="Y6" i="11"/>
  <c r="Q6" i="11"/>
  <c r="S6" i="11"/>
  <c r="X6" i="11"/>
  <c r="V6" i="11"/>
  <c r="W6" i="11"/>
  <c r="U6" i="11"/>
  <c r="O6" i="11"/>
  <c r="R6" i="11"/>
  <c r="P6" i="11"/>
  <c r="AB116" i="11"/>
  <c r="AH15" i="11"/>
  <c r="AH116" i="11" s="1"/>
  <c r="AF15" i="11"/>
  <c r="AF116" i="11" s="1"/>
  <c r="AM15" i="11"/>
  <c r="AM116" i="11" s="1"/>
  <c r="AL15" i="11"/>
  <c r="AL116" i="11" s="1"/>
  <c r="AD15" i="11"/>
  <c r="AG15" i="11"/>
  <c r="AG116" i="11" s="1"/>
  <c r="AE15" i="11"/>
  <c r="AE116" i="11" s="1"/>
  <c r="AI15" i="11"/>
  <c r="AI116" i="11" s="1"/>
  <c r="AK15" i="11"/>
  <c r="AK116" i="11" s="1"/>
  <c r="AJ15" i="11"/>
  <c r="AJ116" i="11" s="1"/>
  <c r="AB141" i="11"/>
  <c r="AG40" i="11"/>
  <c r="AG141" i="11" s="1"/>
  <c r="AE40" i="11"/>
  <c r="AE141" i="11" s="1"/>
  <c r="AD40" i="11"/>
  <c r="AF40" i="11"/>
  <c r="AF141" i="11" s="1"/>
  <c r="AK40" i="11"/>
  <c r="AK141" i="11" s="1"/>
  <c r="AI40" i="11"/>
  <c r="AI141" i="11" s="1"/>
  <c r="AJ40" i="11"/>
  <c r="AJ141" i="11" s="1"/>
  <c r="AH40" i="11"/>
  <c r="AH141" i="11" s="1"/>
  <c r="AM40" i="11"/>
  <c r="AM141" i="11" s="1"/>
  <c r="AL40" i="11"/>
  <c r="AL141" i="11" s="1"/>
  <c r="AB143" i="11"/>
  <c r="AI42" i="11"/>
  <c r="AI143" i="11" s="1"/>
  <c r="AG42" i="11"/>
  <c r="AG143" i="11" s="1"/>
  <c r="AJ42" i="11"/>
  <c r="AJ143" i="11" s="1"/>
  <c r="AH42" i="11"/>
  <c r="AH143" i="11" s="1"/>
  <c r="AM42" i="11"/>
  <c r="AM143" i="11" s="1"/>
  <c r="AD42" i="11"/>
  <c r="AL42" i="11"/>
  <c r="AL143" i="11" s="1"/>
  <c r="AF42" i="11"/>
  <c r="AF143" i="11" s="1"/>
  <c r="AK42" i="11"/>
  <c r="AK143" i="11" s="1"/>
  <c r="AE42" i="11"/>
  <c r="AE143" i="11" s="1"/>
  <c r="AB47" i="11"/>
  <c r="O148" i="11"/>
  <c r="AB43" i="11"/>
  <c r="O144" i="11"/>
  <c r="AB19" i="11"/>
  <c r="O120" i="11"/>
  <c r="AB14" i="11"/>
  <c r="O115" i="11"/>
  <c r="AB132" i="11"/>
  <c r="AJ31" i="11"/>
  <c r="AJ132" i="11" s="1"/>
  <c r="AH31" i="11"/>
  <c r="AH132" i="11" s="1"/>
  <c r="AL31" i="11"/>
  <c r="AL132" i="11" s="1"/>
  <c r="AG31" i="11"/>
  <c r="AI31" i="11"/>
  <c r="AI132" i="11" s="1"/>
  <c r="AK31" i="11"/>
  <c r="AK132" i="11" s="1"/>
  <c r="AM31" i="11"/>
  <c r="AM132" i="11" s="1"/>
  <c r="N135" i="11"/>
  <c r="R34" i="11"/>
  <c r="R135" i="11" s="1"/>
  <c r="X34" i="11"/>
  <c r="X135" i="11" s="1"/>
  <c r="P34" i="11"/>
  <c r="P135" i="11" s="1"/>
  <c r="W34" i="11"/>
  <c r="W135" i="11" s="1"/>
  <c r="V34" i="11"/>
  <c r="V135" i="11" s="1"/>
  <c r="S34" i="11"/>
  <c r="S135" i="11" s="1"/>
  <c r="T34" i="11"/>
  <c r="T135" i="11" s="1"/>
  <c r="U34" i="11"/>
  <c r="U135" i="11" s="1"/>
  <c r="Z34" i="11"/>
  <c r="Z135" i="11" s="1"/>
  <c r="Y34" i="11"/>
  <c r="Y135" i="11" s="1"/>
  <c r="Q34" i="11"/>
  <c r="Q135" i="11" s="1"/>
  <c r="O34" i="11"/>
  <c r="AD149" i="11"/>
  <c r="AN48" i="11"/>
  <c r="N123" i="11"/>
  <c r="V22" i="11"/>
  <c r="V123" i="11" s="1"/>
  <c r="Y22" i="11"/>
  <c r="Y123" i="11" s="1"/>
  <c r="S22" i="11"/>
  <c r="S123" i="11" s="1"/>
  <c r="R22" i="11"/>
  <c r="R123" i="11" s="1"/>
  <c r="U22" i="11"/>
  <c r="U123" i="11" s="1"/>
  <c r="T22" i="11"/>
  <c r="T123" i="11" s="1"/>
  <c r="O22" i="11"/>
  <c r="W22" i="11"/>
  <c r="W123" i="11" s="1"/>
  <c r="Z22" i="11"/>
  <c r="Z123" i="11" s="1"/>
  <c r="X22" i="11"/>
  <c r="X123" i="11" s="1"/>
  <c r="Q22" i="11"/>
  <c r="Q123" i="11" s="1"/>
  <c r="P22" i="11"/>
  <c r="P123" i="11" s="1"/>
  <c r="AB37" i="11"/>
  <c r="O138" i="11"/>
  <c r="AB121" i="11"/>
  <c r="AG20" i="11"/>
  <c r="AG121" i="11" s="1"/>
  <c r="AI20" i="11"/>
  <c r="AI121" i="11" s="1"/>
  <c r="AM20" i="11"/>
  <c r="AM121" i="11" s="1"/>
  <c r="AK20" i="11"/>
  <c r="AK121" i="11" s="1"/>
  <c r="AF20" i="11"/>
  <c r="AF121" i="11" s="1"/>
  <c r="AD20" i="11"/>
  <c r="AH20" i="11"/>
  <c r="AH121" i="11" s="1"/>
  <c r="AJ20" i="11"/>
  <c r="AJ121" i="11" s="1"/>
  <c r="AL20" i="11"/>
  <c r="AL121" i="11" s="1"/>
  <c r="AE20" i="11"/>
  <c r="AE121" i="11" s="1"/>
  <c r="AB13" i="11"/>
  <c r="O114" i="11"/>
  <c r="AB18" i="11"/>
  <c r="O119" i="11"/>
  <c r="J77" i="13"/>
  <c r="G26" i="13"/>
  <c r="E60" i="13" s="1"/>
  <c r="D133" i="21" s="1"/>
  <c r="E210" i="21" s="1"/>
  <c r="AD26" i="13"/>
  <c r="AJ77" i="13" s="1"/>
  <c r="D76" i="13"/>
  <c r="AF8" i="13"/>
  <c r="AD76" i="13" s="1"/>
  <c r="AD33" i="13"/>
  <c r="AJ84" i="13" s="1"/>
  <c r="G33" i="13"/>
  <c r="E67" i="13" s="1"/>
  <c r="D140" i="21" s="1"/>
  <c r="L210" i="21" s="1"/>
  <c r="J84" i="13"/>
  <c r="AD25" i="13"/>
  <c r="G25" i="13"/>
  <c r="J76" i="13"/>
  <c r="D35" i="13"/>
  <c r="AD34" i="13"/>
  <c r="AJ85" i="13" s="1"/>
  <c r="J85" i="13"/>
  <c r="G34" i="13"/>
  <c r="E68" i="13" s="1"/>
  <c r="D141" i="21" s="1"/>
  <c r="M210" i="21" s="1"/>
  <c r="J80" i="13"/>
  <c r="G29" i="13"/>
  <c r="E63" i="13" s="1"/>
  <c r="D136" i="21" s="1"/>
  <c r="H210" i="21" s="1"/>
  <c r="AD29" i="13"/>
  <c r="AJ80" i="13" s="1"/>
  <c r="AE113" i="13" s="1"/>
  <c r="G31" i="13"/>
  <c r="E65" i="13" s="1"/>
  <c r="D138" i="21" s="1"/>
  <c r="J210" i="21" s="1"/>
  <c r="J82" i="13"/>
  <c r="AD31" i="13"/>
  <c r="AJ82" i="13" s="1"/>
  <c r="J79" i="13"/>
  <c r="G28" i="13"/>
  <c r="E62" i="13" s="1"/>
  <c r="D135" i="21" s="1"/>
  <c r="G210" i="21" s="1"/>
  <c r="AD28" i="13"/>
  <c r="AJ79" i="13" s="1"/>
  <c r="J81" i="13"/>
  <c r="G30" i="13"/>
  <c r="E64" i="13" s="1"/>
  <c r="D137" i="21" s="1"/>
  <c r="I210" i="21" s="1"/>
  <c r="AD30" i="13"/>
  <c r="AJ81" i="13" s="1"/>
  <c r="AD32" i="13"/>
  <c r="AJ83" i="13" s="1"/>
  <c r="G32" i="13"/>
  <c r="E66" i="13" s="1"/>
  <c r="D139" i="21" s="1"/>
  <c r="K210" i="21" s="1"/>
  <c r="J83" i="13"/>
  <c r="AD27" i="13"/>
  <c r="AJ78" i="13" s="1"/>
  <c r="G27" i="13"/>
  <c r="E61" i="13" s="1"/>
  <c r="D134" i="21" s="1"/>
  <c r="F210" i="21" s="1"/>
  <c r="J78" i="13"/>
  <c r="D82" i="13"/>
  <c r="AF14" i="13"/>
  <c r="D77" i="13"/>
  <c r="AF9" i="13"/>
  <c r="D78" i="13"/>
  <c r="AF10" i="13"/>
  <c r="AD78" i="13" s="1"/>
  <c r="D80" i="13"/>
  <c r="AF12" i="13"/>
  <c r="AD80" i="13" s="1"/>
  <c r="AE107" i="13" s="1"/>
  <c r="C182" i="21" s="1"/>
  <c r="D83" i="13"/>
  <c r="AF15" i="13"/>
  <c r="D79" i="13"/>
  <c r="AF11" i="13"/>
  <c r="AD79" i="13" s="1"/>
  <c r="D81" i="13"/>
  <c r="AF13" i="13"/>
  <c r="AV8" i="11"/>
  <c r="E395" i="21" s="1"/>
  <c r="G35" i="6"/>
  <c r="R7" i="6"/>
  <c r="J35" i="6"/>
  <c r="C36" i="21" s="1"/>
  <c r="C11" i="19"/>
  <c r="U78" i="11"/>
  <c r="U179" i="11" s="1"/>
  <c r="D85" i="13"/>
  <c r="D84" i="13"/>
  <c r="T91" i="11"/>
  <c r="T194" i="11" s="1"/>
  <c r="S94" i="11"/>
  <c r="G41" i="13"/>
  <c r="U92" i="11"/>
  <c r="U195" i="11" s="1"/>
  <c r="C26" i="8"/>
  <c r="O126" i="11" l="1"/>
  <c r="AF107" i="13"/>
  <c r="D182" i="21" s="1"/>
  <c r="AB51" i="11"/>
  <c r="O152" i="11"/>
  <c r="AB140" i="11"/>
  <c r="AL39" i="11"/>
  <c r="AL140" i="11" s="1"/>
  <c r="AK39" i="11"/>
  <c r="AK140" i="11" s="1"/>
  <c r="AM39" i="11"/>
  <c r="AM140" i="11" s="1"/>
  <c r="AH39" i="11"/>
  <c r="AI39" i="11"/>
  <c r="AI140" i="11" s="1"/>
  <c r="AJ39" i="11"/>
  <c r="AJ140" i="11" s="1"/>
  <c r="O124" i="11"/>
  <c r="AB23" i="11"/>
  <c r="AK38" i="11"/>
  <c r="AK139" i="11" s="1"/>
  <c r="AI38" i="11"/>
  <c r="AI139" i="11" s="1"/>
  <c r="AM38" i="11"/>
  <c r="AM139" i="11" s="1"/>
  <c r="AE38" i="11"/>
  <c r="AE139" i="11" s="1"/>
  <c r="AH38" i="11"/>
  <c r="AH139" i="11" s="1"/>
  <c r="AG38" i="11"/>
  <c r="AG139" i="11" s="1"/>
  <c r="AF38" i="11"/>
  <c r="AF139" i="11" s="1"/>
  <c r="AB139" i="11"/>
  <c r="AJ38" i="11"/>
  <c r="AJ139" i="11" s="1"/>
  <c r="AD38" i="11"/>
  <c r="AL38" i="11"/>
  <c r="AL139" i="11" s="1"/>
  <c r="AB9" i="11"/>
  <c r="O110" i="11"/>
  <c r="O125" i="11"/>
  <c r="AB24" i="11"/>
  <c r="O111" i="11"/>
  <c r="AB10" i="11"/>
  <c r="AB11" i="11"/>
  <c r="O112" i="11"/>
  <c r="AN155" i="11"/>
  <c r="AO54" i="11"/>
  <c r="AO155" i="11" s="1"/>
  <c r="AN160" i="11"/>
  <c r="AO59" i="11"/>
  <c r="AO160" i="11" s="1"/>
  <c r="AB153" i="11"/>
  <c r="AE52" i="11"/>
  <c r="AE153" i="11" s="1"/>
  <c r="AJ52" i="11"/>
  <c r="AJ153" i="11" s="1"/>
  <c r="AL52" i="11"/>
  <c r="AL153" i="11" s="1"/>
  <c r="AM52" i="11"/>
  <c r="AM153" i="11" s="1"/>
  <c r="AG52" i="11"/>
  <c r="AG153" i="11" s="1"/>
  <c r="AH52" i="11"/>
  <c r="AH153" i="11" s="1"/>
  <c r="AD52" i="11"/>
  <c r="AF52" i="11"/>
  <c r="AF153" i="11" s="1"/>
  <c r="AI52" i="11"/>
  <c r="AI153" i="11" s="1"/>
  <c r="AK52" i="11"/>
  <c r="AK153" i="11" s="1"/>
  <c r="AN156" i="11"/>
  <c r="AO55" i="11"/>
  <c r="AO156" i="11" s="1"/>
  <c r="AN158" i="11"/>
  <c r="AO57" i="11"/>
  <c r="AO158" i="11" s="1"/>
  <c r="AB145" i="11"/>
  <c r="AD44" i="11"/>
  <c r="AM44" i="11"/>
  <c r="AM145" i="11" s="1"/>
  <c r="AK44" i="11"/>
  <c r="AK145" i="11" s="1"/>
  <c r="AJ44" i="11"/>
  <c r="AJ145" i="11" s="1"/>
  <c r="AL44" i="11"/>
  <c r="AL145" i="11" s="1"/>
  <c r="AF44" i="11"/>
  <c r="AF145" i="11" s="1"/>
  <c r="AI44" i="11"/>
  <c r="AI145" i="11" s="1"/>
  <c r="AE44" i="11"/>
  <c r="AE145" i="11" s="1"/>
  <c r="AH44" i="11"/>
  <c r="AH145" i="11" s="1"/>
  <c r="AG44" i="11"/>
  <c r="AG145" i="11" s="1"/>
  <c r="AN157" i="11"/>
  <c r="AO56" i="11"/>
  <c r="AO157" i="11" s="1"/>
  <c r="AN159" i="11"/>
  <c r="AO58" i="11"/>
  <c r="AO159" i="11" s="1"/>
  <c r="AL41" i="11"/>
  <c r="AL142" i="11" s="1"/>
  <c r="AD41" i="11"/>
  <c r="AH41" i="11"/>
  <c r="AH142" i="11" s="1"/>
  <c r="AB142" i="11"/>
  <c r="AJ41" i="11"/>
  <c r="AJ142" i="11" s="1"/>
  <c r="AI41" i="11"/>
  <c r="AI142" i="11" s="1"/>
  <c r="AF41" i="11"/>
  <c r="AF142" i="11" s="1"/>
  <c r="AG41" i="11"/>
  <c r="AG142" i="11" s="1"/>
  <c r="AE41" i="11"/>
  <c r="AE142" i="11" s="1"/>
  <c r="AK41" i="11"/>
  <c r="AK142" i="11" s="1"/>
  <c r="AM41" i="11"/>
  <c r="AM142" i="11" s="1"/>
  <c r="S197" i="11"/>
  <c r="AV110" i="11" s="1"/>
  <c r="F429" i="21" s="1"/>
  <c r="U93" i="11"/>
  <c r="T196" i="11"/>
  <c r="U88" i="11"/>
  <c r="T191" i="11"/>
  <c r="U89" i="11"/>
  <c r="T192" i="11"/>
  <c r="V90" i="11"/>
  <c r="U193" i="11"/>
  <c r="U81" i="11"/>
  <c r="T182" i="11"/>
  <c r="U86" i="11"/>
  <c r="T187" i="11"/>
  <c r="U83" i="11"/>
  <c r="T184" i="11"/>
  <c r="V79" i="11"/>
  <c r="U180" i="11"/>
  <c r="U84" i="11"/>
  <c r="T185" i="11"/>
  <c r="V95" i="11"/>
  <c r="U198" i="11"/>
  <c r="V80" i="11"/>
  <c r="U181" i="11"/>
  <c r="T82" i="11"/>
  <c r="S183" i="11"/>
  <c r="G11" i="19"/>
  <c r="C12" i="19"/>
  <c r="E11" i="19"/>
  <c r="U107" i="11"/>
  <c r="U178" i="11" s="1"/>
  <c r="U77" i="11"/>
  <c r="AB33" i="11"/>
  <c r="O134" i="11"/>
  <c r="AB119" i="11"/>
  <c r="AD18" i="11"/>
  <c r="AE18" i="11"/>
  <c r="AE119" i="11" s="1"/>
  <c r="AI18" i="11"/>
  <c r="AI119" i="11" s="1"/>
  <c r="AJ18" i="11"/>
  <c r="AJ119" i="11" s="1"/>
  <c r="AG18" i="11"/>
  <c r="AG119" i="11" s="1"/>
  <c r="AM18" i="11"/>
  <c r="AM119" i="11" s="1"/>
  <c r="AF18" i="11"/>
  <c r="AF119" i="11" s="1"/>
  <c r="AK18" i="11"/>
  <c r="AK119" i="11" s="1"/>
  <c r="AL18" i="11"/>
  <c r="AL119" i="11" s="1"/>
  <c r="AH18" i="11"/>
  <c r="AH119" i="11" s="1"/>
  <c r="AB144" i="11"/>
  <c r="AK43" i="11"/>
  <c r="AK144" i="11" s="1"/>
  <c r="AE43" i="11"/>
  <c r="AE144" i="11" s="1"/>
  <c r="AF43" i="11"/>
  <c r="AF144" i="11" s="1"/>
  <c r="AD43" i="11"/>
  <c r="AH43" i="11"/>
  <c r="AH144" i="11" s="1"/>
  <c r="AI43" i="11"/>
  <c r="AI144" i="11" s="1"/>
  <c r="AM43" i="11"/>
  <c r="AM144" i="11" s="1"/>
  <c r="AL43" i="11"/>
  <c r="AL144" i="11" s="1"/>
  <c r="AJ43" i="11"/>
  <c r="AJ144" i="11" s="1"/>
  <c r="AG43" i="11"/>
  <c r="AG144" i="11" s="1"/>
  <c r="P107" i="11"/>
  <c r="P178" i="11" s="1"/>
  <c r="AT107" i="11" s="1"/>
  <c r="P77" i="11"/>
  <c r="W107" i="11"/>
  <c r="W178" i="11" s="1"/>
  <c r="W77" i="11"/>
  <c r="Q107" i="11"/>
  <c r="Q178" i="11" s="1"/>
  <c r="Q77" i="11"/>
  <c r="AB126" i="11"/>
  <c r="AK25" i="11"/>
  <c r="AK126" i="11" s="1"/>
  <c r="AM25" i="11"/>
  <c r="AM126" i="11" s="1"/>
  <c r="AJ25" i="11"/>
  <c r="AJ126" i="11" s="1"/>
  <c r="AF25" i="11"/>
  <c r="AF126" i="11" s="1"/>
  <c r="AE25" i="11"/>
  <c r="AE126" i="11" s="1"/>
  <c r="AH25" i="11"/>
  <c r="AH126" i="11" s="1"/>
  <c r="AL25" i="11"/>
  <c r="AL126" i="11" s="1"/>
  <c r="AD25" i="11"/>
  <c r="AG25" i="11"/>
  <c r="AG126" i="11" s="1"/>
  <c r="AI25" i="11"/>
  <c r="AI126" i="11" s="1"/>
  <c r="AD131" i="11"/>
  <c r="AN30" i="11"/>
  <c r="AB137" i="11"/>
  <c r="AI36" i="11"/>
  <c r="AI137" i="11" s="1"/>
  <c r="AG36" i="11"/>
  <c r="AG137" i="11" s="1"/>
  <c r="AH36" i="11"/>
  <c r="AH137" i="11" s="1"/>
  <c r="AM36" i="11"/>
  <c r="AM137" i="11" s="1"/>
  <c r="AJ36" i="11"/>
  <c r="AJ137" i="11" s="1"/>
  <c r="AE36" i="11"/>
  <c r="AE137" i="11" s="1"/>
  <c r="AL36" i="11"/>
  <c r="AL137" i="11" s="1"/>
  <c r="AF36" i="11"/>
  <c r="AF137" i="11" s="1"/>
  <c r="AD36" i="11"/>
  <c r="AK36" i="11"/>
  <c r="AK137" i="11" s="1"/>
  <c r="AD147" i="11"/>
  <c r="AN46" i="11"/>
  <c r="AB29" i="11"/>
  <c r="O130" i="11"/>
  <c r="AB150" i="11"/>
  <c r="AM49" i="11"/>
  <c r="AM150" i="11" s="1"/>
  <c r="AG49" i="11"/>
  <c r="AG150" i="11" s="1"/>
  <c r="AI49" i="11"/>
  <c r="AI150" i="11" s="1"/>
  <c r="AL49" i="11"/>
  <c r="AL150" i="11" s="1"/>
  <c r="AF49" i="11"/>
  <c r="AF150" i="11" s="1"/>
  <c r="AD49" i="11"/>
  <c r="AE49" i="11"/>
  <c r="AE150" i="11" s="1"/>
  <c r="AJ49" i="11"/>
  <c r="AJ150" i="11" s="1"/>
  <c r="AH49" i="11"/>
  <c r="AH150" i="11" s="1"/>
  <c r="AK49" i="11"/>
  <c r="AK150" i="11" s="1"/>
  <c r="AB21" i="11"/>
  <c r="O122" i="11"/>
  <c r="AO48" i="11"/>
  <c r="AO149" i="11" s="1"/>
  <c r="AN149" i="11"/>
  <c r="Z107" i="11"/>
  <c r="Z178" i="11" s="1"/>
  <c r="Z77" i="11"/>
  <c r="AB32" i="11"/>
  <c r="O133" i="11"/>
  <c r="AB22" i="11"/>
  <c r="O123" i="11"/>
  <c r="AB34" i="11"/>
  <c r="O135" i="11"/>
  <c r="AG132" i="11"/>
  <c r="AN31" i="11"/>
  <c r="AD141" i="11"/>
  <c r="AN40" i="11"/>
  <c r="R107" i="11"/>
  <c r="R178" i="11" s="1"/>
  <c r="R77" i="11"/>
  <c r="V107" i="11"/>
  <c r="V178" i="11" s="1"/>
  <c r="V77" i="11"/>
  <c r="Y107" i="11"/>
  <c r="Y178" i="11" s="1"/>
  <c r="Y77" i="11"/>
  <c r="AB136" i="11"/>
  <c r="AM35" i="11"/>
  <c r="AM136" i="11" s="1"/>
  <c r="AK35" i="11"/>
  <c r="AK136" i="11" s="1"/>
  <c r="AH35" i="11"/>
  <c r="AH136" i="11" s="1"/>
  <c r="AF35" i="11"/>
  <c r="AF136" i="11" s="1"/>
  <c r="AJ35" i="11"/>
  <c r="AJ136" i="11" s="1"/>
  <c r="AL35" i="11"/>
  <c r="AL136" i="11" s="1"/>
  <c r="AG35" i="11"/>
  <c r="AG136" i="11" s="1"/>
  <c r="AE35" i="11"/>
  <c r="AE136" i="11" s="1"/>
  <c r="AD35" i="11"/>
  <c r="AI35" i="11"/>
  <c r="AI136" i="11" s="1"/>
  <c r="AB8" i="11"/>
  <c r="O109" i="11"/>
  <c r="AB128" i="11"/>
  <c r="AK27" i="11"/>
  <c r="AK128" i="11" s="1"/>
  <c r="AI27" i="11"/>
  <c r="AI128" i="11" s="1"/>
  <c r="AG27" i="11"/>
  <c r="AG128" i="11" s="1"/>
  <c r="AF27" i="11"/>
  <c r="AF128" i="11" s="1"/>
  <c r="AD27" i="11"/>
  <c r="AL27" i="11"/>
  <c r="AL128" i="11" s="1"/>
  <c r="AJ27" i="11"/>
  <c r="AJ128" i="11" s="1"/>
  <c r="AH27" i="11"/>
  <c r="AH128" i="11" s="1"/>
  <c r="AM27" i="11"/>
  <c r="AM128" i="11" s="1"/>
  <c r="AE27" i="11"/>
  <c r="AE128" i="11" s="1"/>
  <c r="AB7" i="11"/>
  <c r="O108" i="11"/>
  <c r="AG118" i="11"/>
  <c r="AN17" i="11"/>
  <c r="AB115" i="11"/>
  <c r="AM14" i="11"/>
  <c r="AM115" i="11" s="1"/>
  <c r="AK14" i="11"/>
  <c r="AK115" i="11" s="1"/>
  <c r="AL14" i="11"/>
  <c r="AL115" i="11" s="1"/>
  <c r="AJ14" i="11"/>
  <c r="AD143" i="11"/>
  <c r="AN42" i="11"/>
  <c r="S107" i="11"/>
  <c r="S178" i="11" s="1"/>
  <c r="S77" i="11"/>
  <c r="S96" i="11" s="1"/>
  <c r="AB114" i="11"/>
  <c r="AF13" i="11"/>
  <c r="AF114" i="11" s="1"/>
  <c r="AK13" i="11"/>
  <c r="AK114" i="11" s="1"/>
  <c r="AM13" i="11"/>
  <c r="AM114" i="11" s="1"/>
  <c r="AG13" i="11"/>
  <c r="AG114" i="11" s="1"/>
  <c r="AJ13" i="11"/>
  <c r="AJ114" i="11" s="1"/>
  <c r="AH13" i="11"/>
  <c r="AH114" i="11" s="1"/>
  <c r="AE13" i="11"/>
  <c r="AI13" i="11"/>
  <c r="AI114" i="11" s="1"/>
  <c r="AL13" i="11"/>
  <c r="AL114" i="11" s="1"/>
  <c r="AD121" i="11"/>
  <c r="AN20" i="11"/>
  <c r="AB138" i="11"/>
  <c r="AG37" i="11"/>
  <c r="AG138" i="11" s="1"/>
  <c r="AD37" i="11"/>
  <c r="AI37" i="11"/>
  <c r="AI138" i="11" s="1"/>
  <c r="AF37" i="11"/>
  <c r="AF138" i="11" s="1"/>
  <c r="AK37" i="11"/>
  <c r="AK138" i="11" s="1"/>
  <c r="AE37" i="11"/>
  <c r="AE138" i="11" s="1"/>
  <c r="AJ37" i="11"/>
  <c r="AJ138" i="11" s="1"/>
  <c r="AH37" i="11"/>
  <c r="AH138" i="11" s="1"/>
  <c r="AM37" i="11"/>
  <c r="AM138" i="11" s="1"/>
  <c r="AL37" i="11"/>
  <c r="AL138" i="11" s="1"/>
  <c r="AB120" i="11"/>
  <c r="AL19" i="11"/>
  <c r="AL120" i="11" s="1"/>
  <c r="AK19" i="11"/>
  <c r="AK120" i="11" s="1"/>
  <c r="AI19" i="11"/>
  <c r="AI120" i="11" s="1"/>
  <c r="AG19" i="11"/>
  <c r="AH19" i="11"/>
  <c r="AH120" i="11" s="1"/>
  <c r="AM19" i="11"/>
  <c r="AM120" i="11" s="1"/>
  <c r="AJ19" i="11"/>
  <c r="AJ120" i="11" s="1"/>
  <c r="AB148" i="11"/>
  <c r="AH47" i="11"/>
  <c r="AH148" i="11" s="1"/>
  <c r="AI47" i="11"/>
  <c r="AI148" i="11" s="1"/>
  <c r="AM47" i="11"/>
  <c r="AM148" i="11" s="1"/>
  <c r="AL47" i="11"/>
  <c r="AL148" i="11" s="1"/>
  <c r="AE47" i="11"/>
  <c r="AE148" i="11" s="1"/>
  <c r="AF47" i="11"/>
  <c r="AF148" i="11" s="1"/>
  <c r="AG47" i="11"/>
  <c r="AG148" i="11" s="1"/>
  <c r="AD47" i="11"/>
  <c r="AJ47" i="11"/>
  <c r="AJ148" i="11" s="1"/>
  <c r="AK47" i="11"/>
  <c r="AK148" i="11" s="1"/>
  <c r="AD116" i="11"/>
  <c r="AN15" i="11"/>
  <c r="AB6" i="11"/>
  <c r="O107" i="11"/>
  <c r="X107" i="11"/>
  <c r="X178" i="11" s="1"/>
  <c r="X77" i="11"/>
  <c r="T107" i="11"/>
  <c r="T178" i="11" s="1"/>
  <c r="T77" i="11"/>
  <c r="AB151" i="11"/>
  <c r="AH50" i="11"/>
  <c r="AH151" i="11" s="1"/>
  <c r="AM50" i="11"/>
  <c r="AM151" i="11" s="1"/>
  <c r="AG50" i="11"/>
  <c r="AG151" i="11" s="1"/>
  <c r="AL50" i="11"/>
  <c r="AL151" i="11" s="1"/>
  <c r="AK50" i="11"/>
  <c r="AK151" i="11" s="1"/>
  <c r="AI50" i="11"/>
  <c r="AI151" i="11" s="1"/>
  <c r="AJ50" i="11"/>
  <c r="AJ151" i="11" s="1"/>
  <c r="AE50" i="11"/>
  <c r="AE151" i="11" s="1"/>
  <c r="AF50" i="11"/>
  <c r="AF151" i="11" s="1"/>
  <c r="AD50" i="11"/>
  <c r="AB28" i="11"/>
  <c r="O129" i="11"/>
  <c r="AD117" i="11"/>
  <c r="AN16" i="11"/>
  <c r="AB113" i="11"/>
  <c r="AE12" i="11"/>
  <c r="AE113" i="11" s="1"/>
  <c r="AL12" i="11"/>
  <c r="AL113" i="11" s="1"/>
  <c r="AD12" i="11"/>
  <c r="AI12" i="11"/>
  <c r="AI113" i="11" s="1"/>
  <c r="AJ12" i="11"/>
  <c r="AJ113" i="11" s="1"/>
  <c r="AF12" i="11"/>
  <c r="AF113" i="11" s="1"/>
  <c r="AG12" i="11"/>
  <c r="AG113" i="11" s="1"/>
  <c r="AK12" i="11"/>
  <c r="AK113" i="11" s="1"/>
  <c r="AM12" i="11"/>
  <c r="AM113" i="11" s="1"/>
  <c r="AH12" i="11"/>
  <c r="AH113" i="11" s="1"/>
  <c r="AB127" i="11"/>
  <c r="AG26" i="11"/>
  <c r="AI26" i="11"/>
  <c r="AI127" i="11" s="1"/>
  <c r="AL26" i="11"/>
  <c r="AL127" i="11" s="1"/>
  <c r="AK26" i="11"/>
  <c r="AK127" i="11" s="1"/>
  <c r="AM26" i="11"/>
  <c r="AM127" i="11" s="1"/>
  <c r="AH26" i="11"/>
  <c r="AH127" i="11" s="1"/>
  <c r="AJ26" i="11"/>
  <c r="AJ127" i="11" s="1"/>
  <c r="AB146" i="11"/>
  <c r="AF45" i="11"/>
  <c r="AF146" i="11" s="1"/>
  <c r="AK45" i="11"/>
  <c r="AK146" i="11" s="1"/>
  <c r="AD45" i="11"/>
  <c r="AE45" i="11"/>
  <c r="AE146" i="11" s="1"/>
  <c r="AJ45" i="11"/>
  <c r="AJ146" i="11" s="1"/>
  <c r="AG45" i="11"/>
  <c r="AG146" i="11" s="1"/>
  <c r="AI45" i="11"/>
  <c r="AI146" i="11" s="1"/>
  <c r="AH45" i="11"/>
  <c r="AH146" i="11" s="1"/>
  <c r="AL45" i="11"/>
  <c r="AL146" i="11" s="1"/>
  <c r="AM45" i="11"/>
  <c r="AM146" i="11" s="1"/>
  <c r="J86" i="13"/>
  <c r="E59" i="13"/>
  <c r="G35" i="13"/>
  <c r="AF113" i="13"/>
  <c r="D188" i="21" s="1"/>
  <c r="C188" i="21"/>
  <c r="AD35" i="13"/>
  <c r="AJ76" i="13"/>
  <c r="AJ86" i="13" s="1"/>
  <c r="D151" i="21"/>
  <c r="C151" i="21"/>
  <c r="AD77" i="13"/>
  <c r="AF18" i="13"/>
  <c r="AD83" i="13"/>
  <c r="AD81" i="13"/>
  <c r="AD82" i="13"/>
  <c r="C145" i="21"/>
  <c r="D108" i="6"/>
  <c r="K108" i="6" s="1"/>
  <c r="K29" i="21" s="1"/>
  <c r="C423" i="21"/>
  <c r="N423" i="21" s="1"/>
  <c r="D86" i="13"/>
  <c r="AV9" i="11"/>
  <c r="F395" i="21" s="1"/>
  <c r="D21" i="19"/>
  <c r="D16" i="19"/>
  <c r="D15" i="19"/>
  <c r="D19" i="19"/>
  <c r="D18" i="19"/>
  <c r="D20" i="19"/>
  <c r="D14" i="19"/>
  <c r="D17" i="19"/>
  <c r="V78" i="11"/>
  <c r="V179" i="11" s="1"/>
  <c r="F58" i="13"/>
  <c r="E131" i="21" s="1"/>
  <c r="D5" i="15"/>
  <c r="U91" i="11"/>
  <c r="U194" i="11" s="1"/>
  <c r="T94" i="11"/>
  <c r="AV10" i="11" s="1"/>
  <c r="G395" i="21" s="1"/>
  <c r="V92" i="11"/>
  <c r="V195" i="11" s="1"/>
  <c r="F18" i="13"/>
  <c r="E53" i="10"/>
  <c r="E51" i="10"/>
  <c r="E71" i="7"/>
  <c r="E5" i="7"/>
  <c r="E101" i="7"/>
  <c r="E62" i="7"/>
  <c r="E25" i="8"/>
  <c r="AT6" i="11" l="1"/>
  <c r="P96" i="11"/>
  <c r="AD51" i="11"/>
  <c r="AJ51" i="11"/>
  <c r="AJ152" i="11" s="1"/>
  <c r="AE51" i="11"/>
  <c r="AE152" i="11" s="1"/>
  <c r="AK51" i="11"/>
  <c r="AK152" i="11" s="1"/>
  <c r="AF51" i="11"/>
  <c r="AF152" i="11" s="1"/>
  <c r="AI51" i="11"/>
  <c r="AI152" i="11" s="1"/>
  <c r="AG51" i="11"/>
  <c r="AG152" i="11" s="1"/>
  <c r="AH51" i="11"/>
  <c r="AH152" i="11" s="1"/>
  <c r="AB152" i="11"/>
  <c r="AL51" i="11"/>
  <c r="AL152" i="11" s="1"/>
  <c r="AM51" i="11"/>
  <c r="AM152" i="11" s="1"/>
  <c r="AJ24" i="11"/>
  <c r="AJ125" i="11" s="1"/>
  <c r="AM24" i="11"/>
  <c r="AM125" i="11" s="1"/>
  <c r="AH24" i="11"/>
  <c r="AH125" i="11" s="1"/>
  <c r="AG24" i="11"/>
  <c r="AK24" i="11"/>
  <c r="AK125" i="11" s="1"/>
  <c r="AB125" i="11"/>
  <c r="AI24" i="11"/>
  <c r="AI125" i="11" s="1"/>
  <c r="AL24" i="11"/>
  <c r="AL125" i="11" s="1"/>
  <c r="AM11" i="11"/>
  <c r="AM112" i="11" s="1"/>
  <c r="AJ11" i="11"/>
  <c r="AB112" i="11"/>
  <c r="AK11" i="11"/>
  <c r="AK112" i="11" s="1"/>
  <c r="AL11" i="11"/>
  <c r="AL112" i="11" s="1"/>
  <c r="AD139" i="11"/>
  <c r="AN38" i="11"/>
  <c r="AJ10" i="11"/>
  <c r="AJ111" i="11" s="1"/>
  <c r="AK10" i="11"/>
  <c r="AK111" i="11" s="1"/>
  <c r="AM10" i="11"/>
  <c r="AM111" i="11" s="1"/>
  <c r="AH10" i="11"/>
  <c r="AH111" i="11" s="1"/>
  <c r="AG10" i="11"/>
  <c r="AG111" i="11" s="1"/>
  <c r="AE10" i="11"/>
  <c r="AI10" i="11"/>
  <c r="AI111" i="11" s="1"/>
  <c r="AB111" i="11"/>
  <c r="AL10" i="11"/>
  <c r="AL111" i="11" s="1"/>
  <c r="AF10" i="11"/>
  <c r="AF111" i="11" s="1"/>
  <c r="AI9" i="11"/>
  <c r="AI110" i="11" s="1"/>
  <c r="AK9" i="11"/>
  <c r="AK110" i="11" s="1"/>
  <c r="AE9" i="11"/>
  <c r="AE110" i="11" s="1"/>
  <c r="AF9" i="11"/>
  <c r="AF110" i="11" s="1"/>
  <c r="AM9" i="11"/>
  <c r="AM110" i="11" s="1"/>
  <c r="AH9" i="11"/>
  <c r="AH110" i="11" s="1"/>
  <c r="AB110" i="11"/>
  <c r="AD9" i="11"/>
  <c r="AL9" i="11"/>
  <c r="AL110" i="11" s="1"/>
  <c r="AJ9" i="11"/>
  <c r="AJ110" i="11" s="1"/>
  <c r="AG9" i="11"/>
  <c r="AG110" i="11" s="1"/>
  <c r="AB124" i="11"/>
  <c r="AM23" i="11"/>
  <c r="AM124" i="11" s="1"/>
  <c r="AK23" i="11"/>
  <c r="AK124" i="11" s="1"/>
  <c r="AD23" i="11"/>
  <c r="AL23" i="11"/>
  <c r="AL124" i="11" s="1"/>
  <c r="AH23" i="11"/>
  <c r="AH124" i="11" s="1"/>
  <c r="AF23" i="11"/>
  <c r="AF124" i="11" s="1"/>
  <c r="AE23" i="11"/>
  <c r="AE124" i="11" s="1"/>
  <c r="AJ23" i="11"/>
  <c r="AJ124" i="11" s="1"/>
  <c r="AI23" i="11"/>
  <c r="AI124" i="11" s="1"/>
  <c r="AG23" i="11"/>
  <c r="AG124" i="11" s="1"/>
  <c r="AN39" i="11"/>
  <c r="AH140" i="11"/>
  <c r="AN41" i="11"/>
  <c r="AD142" i="11"/>
  <c r="AD153" i="11"/>
  <c r="AN52" i="11"/>
  <c r="D22" i="19"/>
  <c r="F11" i="19"/>
  <c r="AD145" i="11"/>
  <c r="AN44" i="11"/>
  <c r="V89" i="11"/>
  <c r="U192" i="11"/>
  <c r="V88" i="11"/>
  <c r="U191" i="11"/>
  <c r="W90" i="11"/>
  <c r="V193" i="11"/>
  <c r="V93" i="11"/>
  <c r="U196" i="11"/>
  <c r="T197" i="11"/>
  <c r="AV111" i="11" s="1"/>
  <c r="G429" i="21" s="1"/>
  <c r="U82" i="11"/>
  <c r="T183" i="11"/>
  <c r="V86" i="11"/>
  <c r="U187" i="11"/>
  <c r="W80" i="11"/>
  <c r="V181" i="11"/>
  <c r="V84" i="11"/>
  <c r="U185" i="11"/>
  <c r="W95" i="11"/>
  <c r="V198" i="11"/>
  <c r="W79" i="11"/>
  <c r="V180" i="11"/>
  <c r="T87" i="11"/>
  <c r="AU10" i="11" s="1"/>
  <c r="V83" i="11"/>
  <c r="U184" i="11"/>
  <c r="V81" i="11"/>
  <c r="U182" i="11"/>
  <c r="O188" i="11"/>
  <c r="T188" i="11" s="1"/>
  <c r="AO17" i="11"/>
  <c r="AO118" i="11" s="1"/>
  <c r="AN118" i="11"/>
  <c r="AB109" i="11"/>
  <c r="AM8" i="11"/>
  <c r="AM109" i="11" s="1"/>
  <c r="AJ8" i="11"/>
  <c r="AK8" i="11"/>
  <c r="AK109" i="11" s="1"/>
  <c r="AL8" i="11"/>
  <c r="AL109" i="11" s="1"/>
  <c r="AT12" i="11"/>
  <c r="AD150" i="11"/>
  <c r="AN49" i="11"/>
  <c r="AB130" i="11"/>
  <c r="AI29" i="11"/>
  <c r="AI130" i="11" s="1"/>
  <c r="AG29" i="11"/>
  <c r="AK29" i="11"/>
  <c r="AK130" i="11" s="1"/>
  <c r="AM29" i="11"/>
  <c r="AM130" i="11" s="1"/>
  <c r="AH29" i="11"/>
  <c r="AH130" i="11" s="1"/>
  <c r="AJ29" i="11"/>
  <c r="AJ130" i="11" s="1"/>
  <c r="AL29" i="11"/>
  <c r="AL130" i="11" s="1"/>
  <c r="AT108" i="11"/>
  <c r="AT115" i="11"/>
  <c r="AO15" i="11"/>
  <c r="AO116" i="11" s="1"/>
  <c r="AN116" i="11"/>
  <c r="AD148" i="11"/>
  <c r="AN47" i="11"/>
  <c r="AG120" i="11"/>
  <c r="AN19" i="11"/>
  <c r="AO42" i="11"/>
  <c r="AO143" i="11" s="1"/>
  <c r="AN143" i="11"/>
  <c r="AD128" i="11"/>
  <c r="AN27" i="11"/>
  <c r="AT113" i="11"/>
  <c r="AB135" i="11"/>
  <c r="AJ34" i="11"/>
  <c r="AM34" i="11"/>
  <c r="AM135" i="11" s="1"/>
  <c r="AK34" i="11"/>
  <c r="AK135" i="11" s="1"/>
  <c r="AL34" i="11"/>
  <c r="AL135" i="11" s="1"/>
  <c r="AB133" i="11"/>
  <c r="AE32" i="11"/>
  <c r="AE133" i="11" s="1"/>
  <c r="AG32" i="11"/>
  <c r="AG133" i="11" s="1"/>
  <c r="AJ32" i="11"/>
  <c r="AJ133" i="11" s="1"/>
  <c r="AI32" i="11"/>
  <c r="AI133" i="11" s="1"/>
  <c r="AK32" i="11"/>
  <c r="AK133" i="11" s="1"/>
  <c r="AH32" i="11"/>
  <c r="AH133" i="11" s="1"/>
  <c r="AM32" i="11"/>
  <c r="AM133" i="11" s="1"/>
  <c r="AF32" i="11"/>
  <c r="AF133" i="11" s="1"/>
  <c r="AL32" i="11"/>
  <c r="AL133" i="11" s="1"/>
  <c r="AD32" i="11"/>
  <c r="AO46" i="11"/>
  <c r="AO147" i="11" s="1"/>
  <c r="AN147" i="11"/>
  <c r="AT13" i="11"/>
  <c r="AD6" i="11"/>
  <c r="AB107" i="11"/>
  <c r="AE6" i="11"/>
  <c r="AJ6" i="11"/>
  <c r="AG6" i="11"/>
  <c r="AL6" i="11"/>
  <c r="AI6" i="11"/>
  <c r="AH6" i="11"/>
  <c r="AM6" i="11"/>
  <c r="AK6" i="11"/>
  <c r="AF6" i="11"/>
  <c r="AT110" i="11"/>
  <c r="AD136" i="11"/>
  <c r="AN35" i="11"/>
  <c r="AO40" i="11"/>
  <c r="AO141" i="11" s="1"/>
  <c r="AN141" i="11"/>
  <c r="AD137" i="11"/>
  <c r="AN36" i="11"/>
  <c r="AD146" i="11"/>
  <c r="AN45" i="11"/>
  <c r="AG127" i="11"/>
  <c r="AN26" i="11"/>
  <c r="AB129" i="11"/>
  <c r="AF28" i="11"/>
  <c r="AF129" i="11" s="1"/>
  <c r="AH28" i="11"/>
  <c r="AH129" i="11" s="1"/>
  <c r="AJ28" i="11"/>
  <c r="AJ129" i="11" s="1"/>
  <c r="AD28" i="11"/>
  <c r="AE28" i="11"/>
  <c r="AE129" i="11" s="1"/>
  <c r="AK28" i="11"/>
  <c r="AK129" i="11" s="1"/>
  <c r="AI28" i="11"/>
  <c r="AI129" i="11" s="1"/>
  <c r="AG28" i="11"/>
  <c r="AG129" i="11" s="1"/>
  <c r="AL28" i="11"/>
  <c r="AL129" i="11" s="1"/>
  <c r="AM28" i="11"/>
  <c r="AM129" i="11" s="1"/>
  <c r="AT10" i="11"/>
  <c r="AT15" i="11"/>
  <c r="AT8" i="11"/>
  <c r="R96" i="11"/>
  <c r="AO31" i="11"/>
  <c r="AO132" i="11" s="1"/>
  <c r="AN132" i="11"/>
  <c r="AT16" i="11"/>
  <c r="AO30" i="11"/>
  <c r="AO131" i="11" s="1"/>
  <c r="AN131" i="11"/>
  <c r="AD126" i="11"/>
  <c r="AN25" i="11"/>
  <c r="AT114" i="11"/>
  <c r="AT11" i="11"/>
  <c r="AT14" i="11"/>
  <c r="AD138" i="11"/>
  <c r="AN37" i="11"/>
  <c r="AD113" i="11"/>
  <c r="AN12" i="11"/>
  <c r="AO16" i="11"/>
  <c r="AO117" i="11" s="1"/>
  <c r="AN117" i="11"/>
  <c r="AD151" i="11"/>
  <c r="AN50" i="11"/>
  <c r="AT111" i="11"/>
  <c r="AO20" i="11"/>
  <c r="AO121" i="11" s="1"/>
  <c r="AN121" i="11"/>
  <c r="AE114" i="11"/>
  <c r="AN13" i="11"/>
  <c r="AT9" i="11"/>
  <c r="AJ115" i="11"/>
  <c r="AN14" i="11"/>
  <c r="AB108" i="11"/>
  <c r="AL7" i="11"/>
  <c r="AL108" i="11" s="1"/>
  <c r="AF7" i="11"/>
  <c r="AF108" i="11" s="1"/>
  <c r="AI7" i="11"/>
  <c r="AI108" i="11" s="1"/>
  <c r="AJ7" i="11"/>
  <c r="AJ108" i="11" s="1"/>
  <c r="AH7" i="11"/>
  <c r="AH108" i="11" s="1"/>
  <c r="AG7" i="11"/>
  <c r="AG108" i="11" s="1"/>
  <c r="AK7" i="11"/>
  <c r="AK108" i="11" s="1"/>
  <c r="AM7" i="11"/>
  <c r="AM108" i="11" s="1"/>
  <c r="AE7" i="11"/>
  <c r="AT116" i="11"/>
  <c r="AT109" i="11"/>
  <c r="AB123" i="11"/>
  <c r="AK22" i="11"/>
  <c r="AK123" i="11" s="1"/>
  <c r="AJ22" i="11"/>
  <c r="AJ123" i="11" s="1"/>
  <c r="AM22" i="11"/>
  <c r="AM123" i="11" s="1"/>
  <c r="AH22" i="11"/>
  <c r="AH123" i="11" s="1"/>
  <c r="AG22" i="11"/>
  <c r="AL22" i="11"/>
  <c r="AL123" i="11" s="1"/>
  <c r="AI22" i="11"/>
  <c r="AI123" i="11" s="1"/>
  <c r="AT117" i="11"/>
  <c r="AB122" i="11"/>
  <c r="AM21" i="11"/>
  <c r="AM122" i="11" s="1"/>
  <c r="AK21" i="11"/>
  <c r="AK122" i="11" s="1"/>
  <c r="AI21" i="11"/>
  <c r="AI122" i="11" s="1"/>
  <c r="AH21" i="11"/>
  <c r="AH122" i="11" s="1"/>
  <c r="AF21" i="11"/>
  <c r="AF122" i="11" s="1"/>
  <c r="AL21" i="11"/>
  <c r="AL122" i="11" s="1"/>
  <c r="AE21" i="11"/>
  <c r="AE122" i="11" s="1"/>
  <c r="AJ21" i="11"/>
  <c r="AJ122" i="11" s="1"/>
  <c r="AG21" i="11"/>
  <c r="AG122" i="11" s="1"/>
  <c r="AD21" i="11"/>
  <c r="AT7" i="11"/>
  <c r="Q96" i="11"/>
  <c r="AD144" i="11"/>
  <c r="AN43" i="11"/>
  <c r="AD119" i="11"/>
  <c r="AN18" i="11"/>
  <c r="AB134" i="11"/>
  <c r="AF33" i="11"/>
  <c r="AF134" i="11" s="1"/>
  <c r="AK33" i="11"/>
  <c r="AK134" i="11" s="1"/>
  <c r="AI33" i="11"/>
  <c r="AI134" i="11" s="1"/>
  <c r="AG33" i="11"/>
  <c r="AG134" i="11" s="1"/>
  <c r="AJ33" i="11"/>
  <c r="AJ134" i="11" s="1"/>
  <c r="AL33" i="11"/>
  <c r="AL134" i="11" s="1"/>
  <c r="AE33" i="11"/>
  <c r="AM33" i="11"/>
  <c r="AM134" i="11" s="1"/>
  <c r="AH33" i="11"/>
  <c r="AH134" i="11" s="1"/>
  <c r="AT112" i="11"/>
  <c r="D132" i="21"/>
  <c r="D210" i="21" s="1"/>
  <c r="E69" i="13"/>
  <c r="D142" i="21" s="1"/>
  <c r="D145" i="21"/>
  <c r="AD86" i="13"/>
  <c r="G38" i="16"/>
  <c r="K432" i="21"/>
  <c r="G33" i="16"/>
  <c r="F432" i="21"/>
  <c r="G39" i="16"/>
  <c r="L432" i="21"/>
  <c r="G35" i="16"/>
  <c r="H432" i="21"/>
  <c r="G36" i="16"/>
  <c r="I432" i="21"/>
  <c r="G34" i="16"/>
  <c r="G432" i="21"/>
  <c r="G37" i="16"/>
  <c r="J432" i="21"/>
  <c r="G40" i="16"/>
  <c r="M432" i="21"/>
  <c r="AZ107" i="11"/>
  <c r="W78" i="11"/>
  <c r="W179" i="11" s="1"/>
  <c r="V91" i="11"/>
  <c r="V194" i="11" s="1"/>
  <c r="U94" i="11"/>
  <c r="AV11" i="11" s="1"/>
  <c r="H395" i="21" s="1"/>
  <c r="W92" i="11"/>
  <c r="W195" i="11" s="1"/>
  <c r="N210" i="21" l="1"/>
  <c r="AD152" i="11"/>
  <c r="AN51" i="11"/>
  <c r="G394" i="21"/>
  <c r="AO39" i="11"/>
  <c r="AO140" i="11" s="1"/>
  <c r="AN140" i="11"/>
  <c r="AD124" i="11"/>
  <c r="AN23" i="11"/>
  <c r="AN24" i="11"/>
  <c r="AG125" i="11"/>
  <c r="AO38" i="11"/>
  <c r="AO139" i="11" s="1"/>
  <c r="AN139" i="11"/>
  <c r="AJ112" i="11"/>
  <c r="AN11" i="11"/>
  <c r="AD110" i="11"/>
  <c r="AN9" i="11"/>
  <c r="AE111" i="11"/>
  <c r="AN10" i="11"/>
  <c r="AO52" i="11"/>
  <c r="AO153" i="11" s="1"/>
  <c r="AN153" i="11"/>
  <c r="O57" i="18"/>
  <c r="O61" i="18"/>
  <c r="O66" i="18"/>
  <c r="O59" i="18"/>
  <c r="O60" i="18"/>
  <c r="O58" i="18"/>
  <c r="O63" i="18"/>
  <c r="O67" i="18"/>
  <c r="O64" i="18"/>
  <c r="O62" i="18"/>
  <c r="O65" i="18"/>
  <c r="AO44" i="11"/>
  <c r="AO145" i="11" s="1"/>
  <c r="AN145" i="11"/>
  <c r="AN142" i="11"/>
  <c r="AO41" i="11"/>
  <c r="AO142" i="11" s="1"/>
  <c r="AW10" i="11"/>
  <c r="D9" i="16" s="1"/>
  <c r="E9" i="16" s="1"/>
  <c r="S188" i="11"/>
  <c r="W188" i="11"/>
  <c r="Z188" i="11"/>
  <c r="V188" i="11"/>
  <c r="U188" i="11"/>
  <c r="Q188" i="11"/>
  <c r="U197" i="11"/>
  <c r="AV112" i="11" s="1"/>
  <c r="H429" i="21" s="1"/>
  <c r="W93" i="11"/>
  <c r="V196" i="11"/>
  <c r="W88" i="11"/>
  <c r="V191" i="11"/>
  <c r="AB188" i="11"/>
  <c r="AD188" i="11" s="1"/>
  <c r="R188" i="11"/>
  <c r="X188" i="11"/>
  <c r="Y188" i="11"/>
  <c r="P188" i="11"/>
  <c r="X90" i="11"/>
  <c r="W193" i="11"/>
  <c r="W89" i="11"/>
  <c r="V192" i="11"/>
  <c r="X95" i="11"/>
  <c r="W198" i="11"/>
  <c r="X80" i="11"/>
  <c r="W181" i="11"/>
  <c r="T96" i="11"/>
  <c r="W81" i="11"/>
  <c r="V182" i="11"/>
  <c r="X79" i="11"/>
  <c r="W180" i="11"/>
  <c r="W84" i="11"/>
  <c r="V185" i="11"/>
  <c r="W86" i="11"/>
  <c r="V187" i="11"/>
  <c r="W83" i="11"/>
  <c r="V184" i="11"/>
  <c r="V82" i="11"/>
  <c r="U183" i="11"/>
  <c r="U87" i="11"/>
  <c r="AU11" i="11" s="1"/>
  <c r="AW11" i="11" s="1"/>
  <c r="D10" i="16" s="1"/>
  <c r="E10" i="16" s="1"/>
  <c r="N432" i="21"/>
  <c r="AO14" i="11"/>
  <c r="AO115" i="11" s="1"/>
  <c r="AN115" i="11"/>
  <c r="AO37" i="11"/>
  <c r="AO138" i="11" s="1"/>
  <c r="AN138" i="11"/>
  <c r="AI107" i="11"/>
  <c r="AI178" i="11" s="1"/>
  <c r="AI199" i="11" s="1"/>
  <c r="AX113" i="11" s="1"/>
  <c r="AJ13" i="13" s="1"/>
  <c r="I224" i="21" s="1"/>
  <c r="AI77" i="11"/>
  <c r="AI96" i="11" s="1"/>
  <c r="AO43" i="11"/>
  <c r="AO144" i="11" s="1"/>
  <c r="AN144" i="11"/>
  <c r="C394" i="21"/>
  <c r="AW6" i="11"/>
  <c r="AT17" i="11"/>
  <c r="AD122" i="11"/>
  <c r="AN21" i="11"/>
  <c r="AD129" i="11"/>
  <c r="AN28" i="11"/>
  <c r="AK107" i="11"/>
  <c r="AK178" i="11" s="1"/>
  <c r="AK199" i="11" s="1"/>
  <c r="AX115" i="11" s="1"/>
  <c r="AJ15" i="13" s="1"/>
  <c r="K224" i="21" s="1"/>
  <c r="AK77" i="11"/>
  <c r="AK96" i="11" s="1"/>
  <c r="AL107" i="11"/>
  <c r="AL178" i="11" s="1"/>
  <c r="AL199" i="11" s="1"/>
  <c r="AX116" i="11" s="1"/>
  <c r="AJ16" i="13" s="1"/>
  <c r="L224" i="21" s="1"/>
  <c r="AL77" i="11"/>
  <c r="AL96" i="11" s="1"/>
  <c r="AJ135" i="11"/>
  <c r="AN34" i="11"/>
  <c r="AO27" i="11"/>
  <c r="AO128" i="11" s="1"/>
  <c r="AN128" i="11"/>
  <c r="AO19" i="11"/>
  <c r="AO120" i="11" s="1"/>
  <c r="AN120" i="11"/>
  <c r="AO49" i="11"/>
  <c r="AO150" i="11" s="1"/>
  <c r="AN150" i="11"/>
  <c r="D394" i="21"/>
  <c r="AW7" i="11"/>
  <c r="D6" i="16" s="1"/>
  <c r="E6" i="16" s="1"/>
  <c r="AG123" i="11"/>
  <c r="AN22" i="11"/>
  <c r="AO13" i="11"/>
  <c r="AO114" i="11" s="1"/>
  <c r="AN114" i="11"/>
  <c r="AO25" i="11"/>
  <c r="AO126" i="11" s="1"/>
  <c r="AN126" i="11"/>
  <c r="E394" i="21"/>
  <c r="AW8" i="11"/>
  <c r="D7" i="16" s="1"/>
  <c r="E7" i="16" s="1"/>
  <c r="AF107" i="11"/>
  <c r="AF178" i="11" s="1"/>
  <c r="AF77" i="11"/>
  <c r="AF96" i="11" s="1"/>
  <c r="AE107" i="11"/>
  <c r="AE77" i="11"/>
  <c r="AE96" i="11" s="1"/>
  <c r="AE108" i="11"/>
  <c r="AN7" i="11"/>
  <c r="AO50" i="11"/>
  <c r="AO151" i="11" s="1"/>
  <c r="AN151" i="11"/>
  <c r="AO12" i="11"/>
  <c r="AO113" i="11" s="1"/>
  <c r="AN113" i="11"/>
  <c r="AO26" i="11"/>
  <c r="AO127" i="11" s="1"/>
  <c r="AN127" i="11"/>
  <c r="AO45" i="11"/>
  <c r="AO146" i="11" s="1"/>
  <c r="AN146" i="11"/>
  <c r="AO35" i="11"/>
  <c r="AO136" i="11" s="1"/>
  <c r="AN136" i="11"/>
  <c r="AM107" i="11"/>
  <c r="AM178" i="11" s="1"/>
  <c r="AM199" i="11" s="1"/>
  <c r="AX117" i="11" s="1"/>
  <c r="AJ17" i="13" s="1"/>
  <c r="M224" i="21" s="1"/>
  <c r="AM77" i="11"/>
  <c r="AM96" i="11" s="1"/>
  <c r="AG107" i="11"/>
  <c r="AG77" i="11"/>
  <c r="AG96" i="11" s="1"/>
  <c r="AD107" i="11"/>
  <c r="AN6" i="11"/>
  <c r="AD77" i="11"/>
  <c r="AD96" i="11" s="1"/>
  <c r="AG130" i="11"/>
  <c r="AN29" i="11"/>
  <c r="AO36" i="11"/>
  <c r="AO137" i="11" s="1"/>
  <c r="AN137" i="11"/>
  <c r="AT118" i="11"/>
  <c r="AE134" i="11"/>
  <c r="AN33" i="11"/>
  <c r="AO18" i="11"/>
  <c r="AO119" i="11" s="1"/>
  <c r="AN119" i="11"/>
  <c r="F394" i="21"/>
  <c r="AW9" i="11"/>
  <c r="D8" i="16" s="1"/>
  <c r="E8" i="16" s="1"/>
  <c r="AH107" i="11"/>
  <c r="AH178" i="11" s="1"/>
  <c r="AH77" i="11"/>
  <c r="AH96" i="11" s="1"/>
  <c r="AJ107" i="11"/>
  <c r="AJ77" i="11"/>
  <c r="AJ96" i="11" s="1"/>
  <c r="AD133" i="11"/>
  <c r="AN32" i="11"/>
  <c r="AO47" i="11"/>
  <c r="AO148" i="11" s="1"/>
  <c r="AN148" i="11"/>
  <c r="AJ109" i="11"/>
  <c r="AN8" i="11"/>
  <c r="G18" i="14"/>
  <c r="D109" i="6"/>
  <c r="X78" i="11"/>
  <c r="X179" i="11" s="1"/>
  <c r="G12" i="19"/>
  <c r="AZ108" i="11" s="1"/>
  <c r="E12" i="19"/>
  <c r="C13" i="19"/>
  <c r="G10" i="14"/>
  <c r="W91" i="11"/>
  <c r="W194" i="11" s="1"/>
  <c r="V94" i="11"/>
  <c r="AV12" i="11" s="1"/>
  <c r="I395" i="21" s="1"/>
  <c r="X92" i="11"/>
  <c r="X195" i="11" s="1"/>
  <c r="AO51" i="11" l="1"/>
  <c r="AO152" i="11" s="1"/>
  <c r="AN152" i="11"/>
  <c r="AN110" i="11"/>
  <c r="AO9" i="11"/>
  <c r="AO110" i="11" s="1"/>
  <c r="AN124" i="11"/>
  <c r="AO23" i="11"/>
  <c r="AO124" i="11" s="1"/>
  <c r="AO10" i="11"/>
  <c r="AO111" i="11" s="1"/>
  <c r="AN111" i="11"/>
  <c r="AN112" i="11"/>
  <c r="AO11" i="11"/>
  <c r="AO112" i="11" s="1"/>
  <c r="AO24" i="11"/>
  <c r="AO125" i="11" s="1"/>
  <c r="AN125" i="11"/>
  <c r="AG178" i="11"/>
  <c r="AE178" i="11"/>
  <c r="AF188" i="11"/>
  <c r="AG188" i="11"/>
  <c r="AE188" i="11"/>
  <c r="AH188" i="11"/>
  <c r="Y90" i="11"/>
  <c r="X193" i="11"/>
  <c r="X88" i="11"/>
  <c r="W191" i="11"/>
  <c r="X89" i="11"/>
  <c r="W192" i="11"/>
  <c r="X93" i="11"/>
  <c r="W196" i="11"/>
  <c r="V197" i="11"/>
  <c r="AV113" i="11" s="1"/>
  <c r="I429" i="21" s="1"/>
  <c r="H394" i="21"/>
  <c r="W82" i="11"/>
  <c r="W87" i="11" s="1"/>
  <c r="AU13" i="11" s="1"/>
  <c r="J394" i="21" s="1"/>
  <c r="V183" i="11"/>
  <c r="X81" i="11"/>
  <c r="W182" i="11"/>
  <c r="Y80" i="11"/>
  <c r="X181" i="11"/>
  <c r="X86" i="11"/>
  <c r="W187" i="11"/>
  <c r="Y79" i="11"/>
  <c r="X180" i="11"/>
  <c r="X83" i="11"/>
  <c r="W184" i="11"/>
  <c r="V87" i="11"/>
  <c r="AU12" i="11" s="1"/>
  <c r="I394" i="21" s="1"/>
  <c r="Y95" i="11"/>
  <c r="X198" i="11"/>
  <c r="U96" i="11"/>
  <c r="X84" i="11"/>
  <c r="W185" i="11"/>
  <c r="AX7" i="11"/>
  <c r="J8" i="13"/>
  <c r="D211" i="21" s="1"/>
  <c r="AE83" i="13"/>
  <c r="AP15" i="13"/>
  <c r="AX13" i="11"/>
  <c r="J14" i="13"/>
  <c r="J211" i="21" s="1"/>
  <c r="AO33" i="11"/>
  <c r="AO134" i="11" s="1"/>
  <c r="AN134" i="11"/>
  <c r="AN107" i="11"/>
  <c r="AN77" i="11"/>
  <c r="AN96" i="11" s="1"/>
  <c r="AO6" i="11"/>
  <c r="AX16" i="11"/>
  <c r="J17" i="13"/>
  <c r="M211" i="21" s="1"/>
  <c r="AO7" i="11"/>
  <c r="AO108" i="11" s="1"/>
  <c r="AN108" i="11"/>
  <c r="AX9" i="11"/>
  <c r="J10" i="13"/>
  <c r="F211" i="21" s="1"/>
  <c r="AO22" i="11"/>
  <c r="AO123" i="11" s="1"/>
  <c r="AN123" i="11"/>
  <c r="J16" i="13"/>
  <c r="L211" i="21" s="1"/>
  <c r="AX15" i="11"/>
  <c r="AO28" i="11"/>
  <c r="AO129" i="11" s="1"/>
  <c r="AN129" i="11"/>
  <c r="AJ178" i="11"/>
  <c r="AJ199" i="11" s="1"/>
  <c r="AX114" i="11" s="1"/>
  <c r="AJ14" i="13" s="1"/>
  <c r="J224" i="21" s="1"/>
  <c r="AO29" i="11"/>
  <c r="AO130" i="11" s="1"/>
  <c r="AN130" i="11"/>
  <c r="AD178" i="11"/>
  <c r="AE85" i="13"/>
  <c r="AP17" i="13"/>
  <c r="AE84" i="13"/>
  <c r="AP16" i="13"/>
  <c r="D5" i="16"/>
  <c r="J13" i="13"/>
  <c r="I211" i="21" s="1"/>
  <c r="AX12" i="11"/>
  <c r="AO8" i="11"/>
  <c r="AO109" i="11" s="1"/>
  <c r="AN109" i="11"/>
  <c r="AO32" i="11"/>
  <c r="AO133" i="11" s="1"/>
  <c r="AN133" i="11"/>
  <c r="J12" i="13"/>
  <c r="H211" i="21" s="1"/>
  <c r="AX11" i="11"/>
  <c r="J11" i="13"/>
  <c r="G211" i="21" s="1"/>
  <c r="AX10" i="11"/>
  <c r="J9" i="13"/>
  <c r="E211" i="21" s="1"/>
  <c r="AX8" i="11"/>
  <c r="AO34" i="11"/>
  <c r="AO135" i="11" s="1"/>
  <c r="AN135" i="11"/>
  <c r="J15" i="13"/>
  <c r="K211" i="21" s="1"/>
  <c r="AX14" i="11"/>
  <c r="AO21" i="11"/>
  <c r="AO122" i="11" s="1"/>
  <c r="AN122" i="11"/>
  <c r="AE81" i="13"/>
  <c r="AP13" i="13"/>
  <c r="F12" i="19"/>
  <c r="AG25" i="13"/>
  <c r="AP75" i="13"/>
  <c r="AH24" i="13"/>
  <c r="K109" i="6"/>
  <c r="O189" i="11"/>
  <c r="D117" i="6"/>
  <c r="K117" i="6" s="1"/>
  <c r="K38" i="21" s="1"/>
  <c r="G99" i="6"/>
  <c r="E13" i="19"/>
  <c r="G13" i="19"/>
  <c r="AZ109" i="11" s="1"/>
  <c r="C14" i="19"/>
  <c r="Y78" i="11"/>
  <c r="Y179" i="11" s="1"/>
  <c r="X91" i="11"/>
  <c r="X194" i="11" s="1"/>
  <c r="W94" i="11"/>
  <c r="AV13" i="11" s="1"/>
  <c r="J395" i="21" s="1"/>
  <c r="Y92" i="11"/>
  <c r="Y195" i="11" s="1"/>
  <c r="E5" i="16" l="1"/>
  <c r="D431" i="21"/>
  <c r="D226" i="21"/>
  <c r="N211" i="21"/>
  <c r="AD66" i="13"/>
  <c r="C176" i="21" s="1"/>
  <c r="K221" i="21"/>
  <c r="K222" i="21" s="1"/>
  <c r="AD67" i="13"/>
  <c r="C177" i="21" s="1"/>
  <c r="L221" i="21"/>
  <c r="L222" i="21" s="1"/>
  <c r="AD64" i="13"/>
  <c r="C174" i="21" s="1"/>
  <c r="I221" i="21"/>
  <c r="I222" i="21" s="1"/>
  <c r="AD68" i="13"/>
  <c r="C178" i="21" s="1"/>
  <c r="M221" i="21"/>
  <c r="M222" i="21" s="1"/>
  <c r="D13" i="14"/>
  <c r="E108" i="13"/>
  <c r="AN188" i="11"/>
  <c r="AO188" i="11" s="1"/>
  <c r="W197" i="11"/>
  <c r="AV114" i="11" s="1"/>
  <c r="J429" i="21" s="1"/>
  <c r="Y93" i="11"/>
  <c r="X196" i="11"/>
  <c r="Y88" i="11"/>
  <c r="X191" i="11"/>
  <c r="Y89" i="11"/>
  <c r="X192" i="11"/>
  <c r="Z90" i="11"/>
  <c r="Z193" i="11" s="1"/>
  <c r="Y193" i="11"/>
  <c r="AW12" i="11"/>
  <c r="D11" i="16" s="1"/>
  <c r="E11" i="16" s="1"/>
  <c r="V96" i="11"/>
  <c r="Y83" i="11"/>
  <c r="X184" i="11"/>
  <c r="Y86" i="11"/>
  <c r="X187" i="11"/>
  <c r="Y81" i="11"/>
  <c r="X182" i="11"/>
  <c r="W96" i="11"/>
  <c r="Y84" i="11"/>
  <c r="X185" i="11"/>
  <c r="Z95" i="11"/>
  <c r="Z198" i="11" s="1"/>
  <c r="Y198" i="11"/>
  <c r="Z79" i="11"/>
  <c r="Z180" i="11" s="1"/>
  <c r="Y180" i="11"/>
  <c r="Z80" i="11"/>
  <c r="Z181" i="11" s="1"/>
  <c r="Y181" i="11"/>
  <c r="X82" i="11"/>
  <c r="W183" i="11"/>
  <c r="E77" i="13"/>
  <c r="P9" i="13"/>
  <c r="AO107" i="11"/>
  <c r="AO178" i="11" s="1"/>
  <c r="AO77" i="11"/>
  <c r="AO96" i="11" s="1"/>
  <c r="C15" i="16" s="1"/>
  <c r="E83" i="13"/>
  <c r="P15" i="13"/>
  <c r="E80" i="13"/>
  <c r="P12" i="13"/>
  <c r="E84" i="13"/>
  <c r="P16" i="13"/>
  <c r="E79" i="13"/>
  <c r="P11" i="13"/>
  <c r="E81" i="13"/>
  <c r="P13" i="13"/>
  <c r="E82" i="13"/>
  <c r="P14" i="13"/>
  <c r="E76" i="13"/>
  <c r="J18" i="13"/>
  <c r="P8" i="13"/>
  <c r="D208" i="21" s="1"/>
  <c r="AE82" i="13"/>
  <c r="AP14" i="13"/>
  <c r="F42" i="13"/>
  <c r="AY7" i="11"/>
  <c r="E78" i="13"/>
  <c r="P10" i="13"/>
  <c r="P17" i="13"/>
  <c r="E85" i="13"/>
  <c r="AN178" i="11"/>
  <c r="AX17" i="11"/>
  <c r="N99" i="6"/>
  <c r="N117" i="6" s="1"/>
  <c r="K30" i="21"/>
  <c r="N20" i="21" s="1"/>
  <c r="N38" i="21" s="1"/>
  <c r="AB189" i="11"/>
  <c r="R189" i="11"/>
  <c r="R190" i="11" s="1"/>
  <c r="V189" i="11"/>
  <c r="V190" i="11" s="1"/>
  <c r="Z189" i="11"/>
  <c r="Q189" i="11"/>
  <c r="Q190" i="11" s="1"/>
  <c r="W189" i="11"/>
  <c r="S189" i="11"/>
  <c r="S190" i="11" s="1"/>
  <c r="X189" i="11"/>
  <c r="T189" i="11"/>
  <c r="T190" i="11" s="1"/>
  <c r="Y189" i="11"/>
  <c r="U189" i="11"/>
  <c r="U190" i="11" s="1"/>
  <c r="P189" i="11"/>
  <c r="P190" i="11" s="1"/>
  <c r="D23" i="15"/>
  <c r="AE58" i="13"/>
  <c r="D168" i="21" s="1"/>
  <c r="C223" i="21" s="1"/>
  <c r="F13" i="19"/>
  <c r="AG26" i="13"/>
  <c r="AH25" i="13"/>
  <c r="AE59" i="13" s="1"/>
  <c r="D169" i="21" s="1"/>
  <c r="D223" i="21" s="1"/>
  <c r="AP76" i="13"/>
  <c r="R88" i="6"/>
  <c r="G117" i="6"/>
  <c r="AQ75" i="13"/>
  <c r="E14" i="19"/>
  <c r="G14" i="19"/>
  <c r="AZ110" i="11" s="1"/>
  <c r="C15" i="19"/>
  <c r="Z78" i="11"/>
  <c r="Y91" i="11"/>
  <c r="Y194" i="11" s="1"/>
  <c r="X94" i="11"/>
  <c r="AW13" i="11"/>
  <c r="Z92" i="11"/>
  <c r="Z195" i="11" s="1"/>
  <c r="AD98" i="11" l="1"/>
  <c r="W190" i="11"/>
  <c r="AU114" i="11" s="1"/>
  <c r="E431" i="21"/>
  <c r="E226" i="21"/>
  <c r="D63" i="13"/>
  <c r="H208" i="21"/>
  <c r="H209" i="21" s="1"/>
  <c r="H212" i="21" s="1"/>
  <c r="H214" i="21" s="1"/>
  <c r="D209" i="21"/>
  <c r="D62" i="13"/>
  <c r="C135" i="21" s="1"/>
  <c r="G208" i="21"/>
  <c r="G209" i="21" s="1"/>
  <c r="G212" i="21" s="1"/>
  <c r="G214" i="21" s="1"/>
  <c r="D68" i="13"/>
  <c r="C141" i="21" s="1"/>
  <c r="M208" i="21"/>
  <c r="M209" i="21" s="1"/>
  <c r="M212" i="21" s="1"/>
  <c r="M214" i="21" s="1"/>
  <c r="D64" i="13"/>
  <c r="C137" i="21" s="1"/>
  <c r="I208" i="21"/>
  <c r="I209" i="21" s="1"/>
  <c r="I212" i="21" s="1"/>
  <c r="I214" i="21" s="1"/>
  <c r="D67" i="13"/>
  <c r="C140" i="21" s="1"/>
  <c r="L208" i="21"/>
  <c r="L209" i="21" s="1"/>
  <c r="L212" i="21" s="1"/>
  <c r="L214" i="21" s="1"/>
  <c r="D66" i="13"/>
  <c r="C139" i="21" s="1"/>
  <c r="K208" i="21"/>
  <c r="K209" i="21" s="1"/>
  <c r="K212" i="21" s="1"/>
  <c r="K214" i="21" s="1"/>
  <c r="D60" i="13"/>
  <c r="C133" i="21" s="1"/>
  <c r="E208" i="21"/>
  <c r="E209" i="21" s="1"/>
  <c r="E212" i="21" s="1"/>
  <c r="E214" i="21" s="1"/>
  <c r="D65" i="13"/>
  <c r="C138" i="21" s="1"/>
  <c r="J208" i="21"/>
  <c r="J209" i="21" s="1"/>
  <c r="J212" i="21" s="1"/>
  <c r="J214" i="21" s="1"/>
  <c r="D61" i="13"/>
  <c r="C134" i="21" s="1"/>
  <c r="F208" i="21"/>
  <c r="F209" i="21" s="1"/>
  <c r="F212" i="21" s="1"/>
  <c r="F214" i="21" s="1"/>
  <c r="AD65" i="13"/>
  <c r="C175" i="21" s="1"/>
  <c r="J221" i="21"/>
  <c r="J222" i="21" s="1"/>
  <c r="C225" i="21"/>
  <c r="F108" i="13"/>
  <c r="D146" i="21" s="1"/>
  <c r="Y191" i="11"/>
  <c r="Z88" i="11"/>
  <c r="Z191" i="11" s="1"/>
  <c r="Z89" i="11"/>
  <c r="Z192" i="11" s="1"/>
  <c r="Y192" i="11"/>
  <c r="Z93" i="11"/>
  <c r="Z196" i="11" s="1"/>
  <c r="Y196" i="11"/>
  <c r="X197" i="11"/>
  <c r="AV115" i="11" s="1"/>
  <c r="K429" i="21" s="1"/>
  <c r="Z86" i="11"/>
  <c r="Z187" i="11" s="1"/>
  <c r="Y187" i="11"/>
  <c r="Z179" i="11"/>
  <c r="Z81" i="11"/>
  <c r="Z182" i="11" s="1"/>
  <c r="Y182" i="11"/>
  <c r="Z83" i="11"/>
  <c r="Z184" i="11" s="1"/>
  <c r="Y184" i="11"/>
  <c r="Y82" i="11"/>
  <c r="X183" i="11"/>
  <c r="X190" i="11" s="1"/>
  <c r="X87" i="11"/>
  <c r="AU14" i="11" s="1"/>
  <c r="K394" i="21" s="1"/>
  <c r="Z84" i="11"/>
  <c r="Z185" i="11" s="1"/>
  <c r="Y185" i="11"/>
  <c r="E86" i="13"/>
  <c r="O76" i="13"/>
  <c r="P76" i="13" s="1"/>
  <c r="G42" i="13"/>
  <c r="F59" i="13" s="1"/>
  <c r="E132" i="21" s="1"/>
  <c r="M391" i="21"/>
  <c r="C16" i="16"/>
  <c r="C146" i="21"/>
  <c r="F43" i="13"/>
  <c r="AY8" i="11"/>
  <c r="D59" i="13"/>
  <c r="P18" i="13"/>
  <c r="AH26" i="13"/>
  <c r="AE60" i="13" s="1"/>
  <c r="D170" i="21" s="1"/>
  <c r="E223" i="21" s="1"/>
  <c r="AP77" i="13"/>
  <c r="F14" i="19"/>
  <c r="AG27" i="13"/>
  <c r="AU110" i="11"/>
  <c r="S199" i="11"/>
  <c r="AU113" i="11"/>
  <c r="V199" i="11"/>
  <c r="AU112" i="11"/>
  <c r="U199" i="11"/>
  <c r="AG58" i="13"/>
  <c r="AU109" i="11"/>
  <c r="R199" i="11"/>
  <c r="E23" i="15"/>
  <c r="AU107" i="11"/>
  <c r="C428" i="21" s="1"/>
  <c r="P199" i="11"/>
  <c r="AU111" i="11"/>
  <c r="T199" i="11"/>
  <c r="AU108" i="11"/>
  <c r="Q199" i="11"/>
  <c r="AG189" i="11"/>
  <c r="AG190" i="11" s="1"/>
  <c r="AG199" i="11" s="1"/>
  <c r="AX111" i="11" s="1"/>
  <c r="AJ11" i="13" s="1"/>
  <c r="G224" i="21" s="1"/>
  <c r="AH189" i="11"/>
  <c r="AH190" i="11" s="1"/>
  <c r="AH199" i="11" s="1"/>
  <c r="AX112" i="11" s="1"/>
  <c r="AJ12" i="13" s="1"/>
  <c r="H224" i="21" s="1"/>
  <c r="AD189" i="11"/>
  <c r="AE189" i="11"/>
  <c r="AE190" i="11" s="1"/>
  <c r="AE199" i="11" s="1"/>
  <c r="AX109" i="11" s="1"/>
  <c r="AJ9" i="13" s="1"/>
  <c r="E224" i="21" s="1"/>
  <c r="AF189" i="11"/>
  <c r="AF190" i="11" s="1"/>
  <c r="AF199" i="11" s="1"/>
  <c r="AX110" i="11" s="1"/>
  <c r="AJ10" i="13" s="1"/>
  <c r="F224" i="21" s="1"/>
  <c r="AV14" i="11"/>
  <c r="G15" i="19"/>
  <c r="C16" i="19"/>
  <c r="E15" i="19"/>
  <c r="Z91" i="11"/>
  <c r="Y94" i="11"/>
  <c r="AV15" i="11" s="1"/>
  <c r="L395" i="21" s="1"/>
  <c r="D12" i="16"/>
  <c r="E12" i="16" s="1"/>
  <c r="W199" i="11" l="1"/>
  <c r="F431" i="21"/>
  <c r="F226" i="21"/>
  <c r="C136" i="21"/>
  <c r="N209" i="21"/>
  <c r="D212" i="21"/>
  <c r="N208" i="21"/>
  <c r="C227" i="21"/>
  <c r="X96" i="11"/>
  <c r="Z94" i="11"/>
  <c r="AV16" i="11" s="1"/>
  <c r="M395" i="21" s="1"/>
  <c r="Z194" i="11"/>
  <c r="Z197" i="11" s="1"/>
  <c r="AV117" i="11" s="1"/>
  <c r="AW14" i="11"/>
  <c r="D13" i="16" s="1"/>
  <c r="E13" i="16" s="1"/>
  <c r="K395" i="21"/>
  <c r="Y197" i="11"/>
  <c r="AV116" i="11" s="1"/>
  <c r="L429" i="21" s="1"/>
  <c r="AU115" i="11"/>
  <c r="AW115" i="11" s="1"/>
  <c r="D38" i="16" s="1"/>
  <c r="E38" i="16" s="1"/>
  <c r="X199" i="11"/>
  <c r="Z82" i="11"/>
  <c r="Y183" i="11"/>
  <c r="Y190" i="11" s="1"/>
  <c r="Y87" i="11"/>
  <c r="AU15" i="11" s="1"/>
  <c r="AW15" i="11" s="1"/>
  <c r="O77" i="13"/>
  <c r="P77" i="13" s="1"/>
  <c r="G43" i="13"/>
  <c r="F60" i="13" s="1"/>
  <c r="E133" i="21" s="1"/>
  <c r="M425" i="21"/>
  <c r="N391" i="21"/>
  <c r="M392" i="21"/>
  <c r="M398" i="21" s="1"/>
  <c r="C132" i="21"/>
  <c r="D69" i="13"/>
  <c r="C142" i="21" s="1"/>
  <c r="F44" i="13"/>
  <c r="AY9" i="11"/>
  <c r="D8" i="17"/>
  <c r="F8" i="17" s="1"/>
  <c r="D20" i="17"/>
  <c r="F20" i="17" s="1"/>
  <c r="D18" i="17"/>
  <c r="F18" i="17" s="1"/>
  <c r="D9" i="17"/>
  <c r="F9" i="17" s="1"/>
  <c r="D12" i="17"/>
  <c r="F12" i="17" s="1"/>
  <c r="D15" i="17"/>
  <c r="F15" i="17" s="1"/>
  <c r="D17" i="17"/>
  <c r="F17" i="17" s="1"/>
  <c r="D10" i="17"/>
  <c r="F10" i="17" s="1"/>
  <c r="D7" i="17"/>
  <c r="F7" i="17" s="1"/>
  <c r="D19" i="17"/>
  <c r="F19" i="17" s="1"/>
  <c r="D16" i="17"/>
  <c r="F16" i="17" s="1"/>
  <c r="D14" i="17"/>
  <c r="F14" i="17" s="1"/>
  <c r="D6" i="17"/>
  <c r="F6" i="17" s="1"/>
  <c r="D11" i="17"/>
  <c r="F11" i="17" s="1"/>
  <c r="D13" i="17"/>
  <c r="F13" i="17" s="1"/>
  <c r="D5" i="17"/>
  <c r="D22" i="17" s="1"/>
  <c r="AW114" i="11"/>
  <c r="D37" i="16" s="1"/>
  <c r="E37" i="16" s="1"/>
  <c r="J428" i="21"/>
  <c r="AW108" i="11"/>
  <c r="D31" i="16" s="1"/>
  <c r="E31" i="16" s="1"/>
  <c r="D428" i="21"/>
  <c r="AW112" i="11"/>
  <c r="D35" i="16" s="1"/>
  <c r="E35" i="16" s="1"/>
  <c r="H428" i="21"/>
  <c r="AW110" i="11"/>
  <c r="D33" i="16" s="1"/>
  <c r="E33" i="16" s="1"/>
  <c r="F428" i="21"/>
  <c r="AW109" i="11"/>
  <c r="D32" i="16" s="1"/>
  <c r="E32" i="16" s="1"/>
  <c r="E428" i="21"/>
  <c r="AW111" i="11"/>
  <c r="D34" i="16" s="1"/>
  <c r="E34" i="16" s="1"/>
  <c r="G428" i="21"/>
  <c r="F30" i="16"/>
  <c r="H30" i="16" s="1"/>
  <c r="F168" i="21"/>
  <c r="AW113" i="11"/>
  <c r="D36" i="16" s="1"/>
  <c r="E36" i="16" s="1"/>
  <c r="I428" i="21"/>
  <c r="F15" i="19"/>
  <c r="AG28" i="13"/>
  <c r="AE78" i="13"/>
  <c r="AP10" i="13"/>
  <c r="F221" i="21" s="1"/>
  <c r="AE79" i="13"/>
  <c r="AP11" i="13"/>
  <c r="G221" i="21" s="1"/>
  <c r="G222" i="21" s="1"/>
  <c r="AE77" i="13"/>
  <c r="AP9" i="13"/>
  <c r="E221" i="21" s="1"/>
  <c r="E222" i="21" s="1"/>
  <c r="E225" i="21" s="1"/>
  <c r="E227" i="21" s="1"/>
  <c r="AP78" i="13"/>
  <c r="AH27" i="13"/>
  <c r="AN189" i="11"/>
  <c r="AD190" i="11"/>
  <c r="AD199" i="11" s="1"/>
  <c r="AX108" i="11" s="1"/>
  <c r="AW107" i="11"/>
  <c r="AE80" i="13"/>
  <c r="AE108" i="13" s="1"/>
  <c r="AP12" i="13"/>
  <c r="H221" i="21" s="1"/>
  <c r="H222" i="21" s="1"/>
  <c r="F23" i="15"/>
  <c r="G16" i="19"/>
  <c r="AZ112" i="11" s="1"/>
  <c r="E16" i="19"/>
  <c r="C17" i="19"/>
  <c r="AV17" i="11"/>
  <c r="G431" i="21" l="1"/>
  <c r="G226" i="21"/>
  <c r="D214" i="21"/>
  <c r="N214" i="21" s="1"/>
  <c r="N212" i="21"/>
  <c r="F222" i="21"/>
  <c r="C183" i="21"/>
  <c r="AF108" i="13"/>
  <c r="D183" i="21" s="1"/>
  <c r="N395" i="21"/>
  <c r="AV118" i="11"/>
  <c r="M429" i="21"/>
  <c r="N429" i="21" s="1"/>
  <c r="K428" i="21"/>
  <c r="AU116" i="11"/>
  <c r="Y199" i="11"/>
  <c r="Z183" i="11"/>
  <c r="Z190" i="11" s="1"/>
  <c r="Z87" i="11"/>
  <c r="L394" i="21"/>
  <c r="Y96" i="11"/>
  <c r="N425" i="21"/>
  <c r="M426" i="21"/>
  <c r="M434" i="21" s="1"/>
  <c r="O78" i="13"/>
  <c r="P78" i="13" s="1"/>
  <c r="G44" i="13"/>
  <c r="F61" i="13" s="1"/>
  <c r="E134" i="21" s="1"/>
  <c r="F5" i="17"/>
  <c r="AY10" i="11"/>
  <c r="F45" i="13"/>
  <c r="G23" i="15"/>
  <c r="F16" i="19"/>
  <c r="AG29" i="13"/>
  <c r="AN190" i="11"/>
  <c r="AN199" i="11" s="1"/>
  <c r="AO189" i="11"/>
  <c r="AO190" i="11" s="1"/>
  <c r="AO199" i="11" s="1"/>
  <c r="C40" i="16" s="1"/>
  <c r="C41" i="16" s="1"/>
  <c r="AD60" i="13"/>
  <c r="C170" i="21" s="1"/>
  <c r="AH41" i="13"/>
  <c r="I30" i="16"/>
  <c r="C430" i="21" s="1"/>
  <c r="C422" i="21" s="1"/>
  <c r="AD62" i="13"/>
  <c r="C172" i="21" s="1"/>
  <c r="AP79" i="13"/>
  <c r="AH28" i="13"/>
  <c r="AE62" i="13" s="1"/>
  <c r="D172" i="21" s="1"/>
  <c r="G223" i="21" s="1"/>
  <c r="G225" i="21" s="1"/>
  <c r="G227" i="21" s="1"/>
  <c r="AD63" i="13"/>
  <c r="C173" i="21" s="1"/>
  <c r="AE61" i="13"/>
  <c r="D171" i="21" s="1"/>
  <c r="F223" i="21" s="1"/>
  <c r="AY108" i="11"/>
  <c r="D224" i="21"/>
  <c r="N224" i="21" s="1"/>
  <c r="AX118" i="11"/>
  <c r="AD61" i="13"/>
  <c r="C171" i="21" s="1"/>
  <c r="G17" i="19"/>
  <c r="AZ113" i="11" s="1"/>
  <c r="E17" i="19"/>
  <c r="C18" i="19"/>
  <c r="D14" i="16"/>
  <c r="AD201" i="11" l="1"/>
  <c r="H431" i="21"/>
  <c r="H226" i="21"/>
  <c r="F225" i="21"/>
  <c r="AU16" i="11"/>
  <c r="Z96" i="11"/>
  <c r="P98" i="11" s="1"/>
  <c r="AU117" i="11"/>
  <c r="Z199" i="11"/>
  <c r="P201" i="11" s="1"/>
  <c r="AW116" i="11"/>
  <c r="L428" i="21"/>
  <c r="F46" i="13"/>
  <c r="AY11" i="11"/>
  <c r="O79" i="13"/>
  <c r="P79" i="13" s="1"/>
  <c r="G45" i="13"/>
  <c r="F62" i="13" s="1"/>
  <c r="E135" i="21" s="1"/>
  <c r="F23" i="17"/>
  <c r="C234" i="21"/>
  <c r="J30" i="16"/>
  <c r="F17" i="19"/>
  <c r="AG30" i="13"/>
  <c r="BA107" i="11"/>
  <c r="AF42" i="13" s="1"/>
  <c r="E30" i="16"/>
  <c r="AP80" i="13"/>
  <c r="AE119" i="13" s="1"/>
  <c r="AH29" i="13"/>
  <c r="AE76" i="13"/>
  <c r="AP8" i="13"/>
  <c r="D221" i="21" s="1"/>
  <c r="AJ18" i="13"/>
  <c r="AI41" i="13"/>
  <c r="C228" i="21" s="1"/>
  <c r="C229" i="21" s="1"/>
  <c r="C19" i="19"/>
  <c r="E18" i="19"/>
  <c r="G18" i="19"/>
  <c r="AZ114" i="11" s="1"/>
  <c r="E14" i="16"/>
  <c r="I431" i="21" l="1"/>
  <c r="I226" i="21"/>
  <c r="D222" i="21"/>
  <c r="N221" i="21"/>
  <c r="F227" i="21"/>
  <c r="E118" i="13"/>
  <c r="D14" i="14"/>
  <c r="G14" i="14" s="1"/>
  <c r="D39" i="16"/>
  <c r="M428" i="21"/>
  <c r="N428" i="21" s="1"/>
  <c r="AW117" i="11"/>
  <c r="D40" i="16" s="1"/>
  <c r="E40" i="16" s="1"/>
  <c r="AU118" i="11"/>
  <c r="M394" i="21"/>
  <c r="N394" i="21" s="1"/>
  <c r="AW16" i="11"/>
  <c r="AU17" i="11"/>
  <c r="F47" i="13"/>
  <c r="AY12" i="11"/>
  <c r="O80" i="13"/>
  <c r="P80" i="13" s="1"/>
  <c r="G46" i="13"/>
  <c r="F63" i="13" s="1"/>
  <c r="AO76" i="13"/>
  <c r="AG42" i="13"/>
  <c r="D24" i="15" s="1"/>
  <c r="AE63" i="13"/>
  <c r="D173" i="21" s="1"/>
  <c r="H223" i="21" s="1"/>
  <c r="AY109" i="11"/>
  <c r="BA108" i="11"/>
  <c r="AF43" i="13" s="1"/>
  <c r="AD59" i="13"/>
  <c r="AP18" i="13"/>
  <c r="AH30" i="13"/>
  <c r="AP81" i="13"/>
  <c r="F18" i="19"/>
  <c r="AG31" i="13"/>
  <c r="AE86" i="13"/>
  <c r="E19" i="19"/>
  <c r="G19" i="19"/>
  <c r="AZ115" i="11" s="1"/>
  <c r="C20" i="19"/>
  <c r="J431" i="21" l="1"/>
  <c r="J226" i="21"/>
  <c r="E136" i="21"/>
  <c r="G63" i="13"/>
  <c r="N222" i="21"/>
  <c r="D225" i="21"/>
  <c r="D227" i="21" s="1"/>
  <c r="H225" i="21"/>
  <c r="F118" i="13"/>
  <c r="E125" i="13"/>
  <c r="D15" i="16"/>
  <c r="AW17" i="11"/>
  <c r="E39" i="16"/>
  <c r="E41" i="16" s="1"/>
  <c r="D41" i="16"/>
  <c r="AW118" i="11"/>
  <c r="D30" i="17"/>
  <c r="F30" i="17" s="1"/>
  <c r="D35" i="17"/>
  <c r="F35" i="17" s="1"/>
  <c r="D40" i="17"/>
  <c r="F40" i="17" s="1"/>
  <c r="D37" i="17"/>
  <c r="F37" i="17" s="1"/>
  <c r="D42" i="17"/>
  <c r="F42" i="17" s="1"/>
  <c r="D43" i="17"/>
  <c r="F43" i="17" s="1"/>
  <c r="D44" i="17"/>
  <c r="F44" i="17" s="1"/>
  <c r="D41" i="17"/>
  <c r="F41" i="17" s="1"/>
  <c r="D39" i="17"/>
  <c r="F39" i="17" s="1"/>
  <c r="D36" i="17"/>
  <c r="F36" i="17" s="1"/>
  <c r="D38" i="17"/>
  <c r="F38" i="17" s="1"/>
  <c r="D31" i="17"/>
  <c r="F31" i="17" s="1"/>
  <c r="D32" i="17"/>
  <c r="F32" i="17" s="1"/>
  <c r="D29" i="17"/>
  <c r="D34" i="17"/>
  <c r="F34" i="17" s="1"/>
  <c r="D33" i="17"/>
  <c r="F33" i="17" s="1"/>
  <c r="F48" i="13"/>
  <c r="AY13" i="11"/>
  <c r="O81" i="13"/>
  <c r="G47" i="13"/>
  <c r="F64" i="13" s="1"/>
  <c r="E137" i="21" s="1"/>
  <c r="AD69" i="13"/>
  <c r="C179" i="21" s="1"/>
  <c r="C169" i="21"/>
  <c r="AP82" i="13"/>
  <c r="AH31" i="13"/>
  <c r="AY110" i="11"/>
  <c r="BA109" i="11"/>
  <c r="AF44" i="13" s="1"/>
  <c r="K30" i="16"/>
  <c r="L30" i="16"/>
  <c r="E24" i="15"/>
  <c r="F24" i="15" s="1"/>
  <c r="AF59" i="13"/>
  <c r="E169" i="21" s="1"/>
  <c r="F19" i="19"/>
  <c r="AG32" i="13"/>
  <c r="AQ76" i="13"/>
  <c r="AE64" i="13"/>
  <c r="D174" i="21" s="1"/>
  <c r="I223" i="21" s="1"/>
  <c r="I225" i="21" s="1"/>
  <c r="I227" i="21" s="1"/>
  <c r="AO77" i="13"/>
  <c r="AQ77" i="13" s="1"/>
  <c r="AG43" i="13"/>
  <c r="C21" i="19"/>
  <c r="G20" i="19"/>
  <c r="AZ116" i="11" s="1"/>
  <c r="E20" i="19"/>
  <c r="K431" i="21" l="1"/>
  <c r="K226" i="21"/>
  <c r="H227" i="21"/>
  <c r="E15" i="16"/>
  <c r="E16" i="16" s="1"/>
  <c r="D16" i="16"/>
  <c r="P81" i="13"/>
  <c r="F49" i="13"/>
  <c r="AY14" i="11"/>
  <c r="F29" i="17"/>
  <c r="D46" i="17"/>
  <c r="O82" i="13"/>
  <c r="P82" i="13" s="1"/>
  <c r="G48" i="13"/>
  <c r="F65" i="13" s="1"/>
  <c r="E138" i="21" s="1"/>
  <c r="Z7" i="17"/>
  <c r="AB7" i="17" s="1"/>
  <c r="Z8" i="17"/>
  <c r="AB8" i="17" s="1"/>
  <c r="Z12" i="17"/>
  <c r="AB12" i="17" s="1"/>
  <c r="Z20" i="17"/>
  <c r="AB20" i="17" s="1"/>
  <c r="Z16" i="17"/>
  <c r="AB16" i="17" s="1"/>
  <c r="Z9" i="17"/>
  <c r="AB9" i="17" s="1"/>
  <c r="Z13" i="17"/>
  <c r="AB13" i="17" s="1"/>
  <c r="Z17" i="17"/>
  <c r="AB17" i="17" s="1"/>
  <c r="Z5" i="17"/>
  <c r="Z6" i="17"/>
  <c r="AB6" i="17" s="1"/>
  <c r="Z10" i="17"/>
  <c r="AB10" i="17" s="1"/>
  <c r="Z14" i="17"/>
  <c r="AB14" i="17" s="1"/>
  <c r="Z18" i="17"/>
  <c r="AB18" i="17" s="1"/>
  <c r="Z11" i="17"/>
  <c r="AB11" i="17" s="1"/>
  <c r="Z15" i="17"/>
  <c r="AB15" i="17" s="1"/>
  <c r="Z19" i="17"/>
  <c r="AB19" i="17" s="1"/>
  <c r="AF60" i="13"/>
  <c r="D25" i="15"/>
  <c r="BA110" i="11"/>
  <c r="AF45" i="13" s="1"/>
  <c r="AP83" i="13"/>
  <c r="AH32" i="13"/>
  <c r="AG59" i="13"/>
  <c r="AE65" i="13"/>
  <c r="D175" i="21" s="1"/>
  <c r="J223" i="21" s="1"/>
  <c r="J225" i="21" s="1"/>
  <c r="J227" i="21" s="1"/>
  <c r="F20" i="19"/>
  <c r="AG33" i="13"/>
  <c r="AO78" i="13"/>
  <c r="AQ78" i="13" s="1"/>
  <c r="AG44" i="13"/>
  <c r="G21" i="19"/>
  <c r="AZ117" i="11" s="1"/>
  <c r="E21" i="19"/>
  <c r="E22" i="19" s="1"/>
  <c r="L431" i="21" l="1"/>
  <c r="L226" i="21"/>
  <c r="F50" i="13"/>
  <c r="AY15" i="11"/>
  <c r="O83" i="13"/>
  <c r="P83" i="13" s="1"/>
  <c r="G49" i="13"/>
  <c r="F66" i="13" s="1"/>
  <c r="E139" i="21" s="1"/>
  <c r="F47" i="17"/>
  <c r="C259" i="21"/>
  <c r="G24" i="15"/>
  <c r="F31" i="16"/>
  <c r="F169" i="21"/>
  <c r="AG60" i="13"/>
  <c r="AI60" i="13" s="1"/>
  <c r="H170" i="21" s="1"/>
  <c r="E170" i="21"/>
  <c r="Z22" i="17"/>
  <c r="AB5" i="17"/>
  <c r="F21" i="19"/>
  <c r="AG34" i="13"/>
  <c r="E25" i="15"/>
  <c r="AO79" i="13"/>
  <c r="AQ79" i="13" s="1"/>
  <c r="AG45" i="13"/>
  <c r="AH42" i="13"/>
  <c r="I31" i="16"/>
  <c r="AH33" i="13"/>
  <c r="AP84" i="13"/>
  <c r="AE66" i="13"/>
  <c r="D176" i="21" s="1"/>
  <c r="K223" i="21" s="1"/>
  <c r="K225" i="21" s="1"/>
  <c r="K227" i="21" s="1"/>
  <c r="AF61" i="13"/>
  <c r="E171" i="21" s="1"/>
  <c r="D26" i="15"/>
  <c r="AI59" i="13"/>
  <c r="H169" i="21" s="1"/>
  <c r="AY112" i="11"/>
  <c r="BA111" i="11"/>
  <c r="AF46" i="13" s="1"/>
  <c r="D12" i="15"/>
  <c r="D7" i="15"/>
  <c r="D8" i="15"/>
  <c r="D6" i="15"/>
  <c r="D9" i="15"/>
  <c r="D11" i="15"/>
  <c r="D10" i="15"/>
  <c r="E10" i="15" s="1"/>
  <c r="M431" i="21" l="1"/>
  <c r="N431" i="21" s="1"/>
  <c r="M226" i="21"/>
  <c r="N226" i="21" s="1"/>
  <c r="D13" i="15"/>
  <c r="F51" i="13"/>
  <c r="AY16" i="11"/>
  <c r="O84" i="13"/>
  <c r="G50" i="13"/>
  <c r="D430" i="21"/>
  <c r="D433" i="21" s="1"/>
  <c r="E11" i="15"/>
  <c r="E12" i="15"/>
  <c r="E9" i="15"/>
  <c r="E8" i="15"/>
  <c r="E6" i="15"/>
  <c r="E7" i="15"/>
  <c r="E26" i="15"/>
  <c r="F32" i="16"/>
  <c r="F170" i="21"/>
  <c r="AB23" i="17"/>
  <c r="C311" i="21"/>
  <c r="G41" i="16"/>
  <c r="F22" i="19"/>
  <c r="AY113" i="11"/>
  <c r="BA112" i="11"/>
  <c r="AF47" i="13" s="1"/>
  <c r="AE67" i="13"/>
  <c r="D177" i="21" s="1"/>
  <c r="L223" i="21" s="1"/>
  <c r="L225" i="21" s="1"/>
  <c r="L227" i="21" s="1"/>
  <c r="F25" i="15"/>
  <c r="AF62" i="13"/>
  <c r="D27" i="15"/>
  <c r="AH34" i="13"/>
  <c r="AP85" i="13"/>
  <c r="AG35" i="13"/>
  <c r="H31" i="16"/>
  <c r="AO80" i="13"/>
  <c r="AE118" i="13" s="1"/>
  <c r="AG46" i="13"/>
  <c r="AG61" i="13"/>
  <c r="AI42" i="13"/>
  <c r="D228" i="21" s="1"/>
  <c r="D229" i="21" s="1"/>
  <c r="E13" i="15" l="1"/>
  <c r="F13" i="15" s="1"/>
  <c r="G51" i="13"/>
  <c r="G52" i="13" s="1"/>
  <c r="O85" i="13"/>
  <c r="P85" i="13" s="1"/>
  <c r="F52" i="13"/>
  <c r="D12" i="14" s="1"/>
  <c r="F67" i="13"/>
  <c r="E140" i="21" s="1"/>
  <c r="D14" i="15"/>
  <c r="P84" i="13"/>
  <c r="F9" i="15"/>
  <c r="F7" i="15"/>
  <c r="F12" i="15"/>
  <c r="F8" i="15"/>
  <c r="H44" i="13" s="1"/>
  <c r="I44" i="13" s="1"/>
  <c r="F11" i="15"/>
  <c r="F6" i="15"/>
  <c r="H6" i="16" s="1"/>
  <c r="F10" i="15"/>
  <c r="F26" i="15"/>
  <c r="AP86" i="13"/>
  <c r="F33" i="16"/>
  <c r="F171" i="21"/>
  <c r="AG62" i="13"/>
  <c r="AI62" i="13" s="1"/>
  <c r="H172" i="21" s="1"/>
  <c r="E172" i="21"/>
  <c r="H32" i="16"/>
  <c r="E27" i="15"/>
  <c r="G25" i="15"/>
  <c r="AI61" i="13"/>
  <c r="H171" i="21" s="1"/>
  <c r="AO81" i="13"/>
  <c r="AQ81" i="13" s="1"/>
  <c r="AG47" i="13"/>
  <c r="AF63" i="13"/>
  <c r="E173" i="21" s="1"/>
  <c r="D28" i="15"/>
  <c r="J31" i="16"/>
  <c r="AE68" i="13"/>
  <c r="AH35" i="13"/>
  <c r="I32" i="16"/>
  <c r="E430" i="21" s="1"/>
  <c r="E433" i="21" s="1"/>
  <c r="AH43" i="13"/>
  <c r="AY114" i="11"/>
  <c r="BA113" i="11"/>
  <c r="AF48" i="13" s="1"/>
  <c r="AQ80" i="13"/>
  <c r="G61" i="13" l="1"/>
  <c r="F8" i="16" s="1"/>
  <c r="G8" i="16" s="1"/>
  <c r="F215" i="21"/>
  <c r="F216" i="21" s="1"/>
  <c r="P86" i="13"/>
  <c r="H45" i="13"/>
  <c r="I45" i="13" s="1"/>
  <c r="O86" i="13"/>
  <c r="D3" i="14"/>
  <c r="D23" i="14" s="1"/>
  <c r="C156" i="21"/>
  <c r="E14" i="15"/>
  <c r="D63" i="17"/>
  <c r="F63" i="17" s="1"/>
  <c r="D64" i="17"/>
  <c r="F64" i="17" s="1"/>
  <c r="D61" i="17"/>
  <c r="F61" i="17" s="1"/>
  <c r="D66" i="17"/>
  <c r="F66" i="17" s="1"/>
  <c r="D67" i="17"/>
  <c r="F67" i="17" s="1"/>
  <c r="D68" i="17"/>
  <c r="F68" i="17" s="1"/>
  <c r="D65" i="17"/>
  <c r="F65" i="17" s="1"/>
  <c r="D55" i="17"/>
  <c r="F55" i="17" s="1"/>
  <c r="D60" i="17"/>
  <c r="F60" i="17" s="1"/>
  <c r="D62" i="17"/>
  <c r="F62" i="17" s="1"/>
  <c r="D54" i="17"/>
  <c r="F54" i="17" s="1"/>
  <c r="D56" i="17"/>
  <c r="F56" i="17" s="1"/>
  <c r="D53" i="17"/>
  <c r="D58" i="17"/>
  <c r="F58" i="17" s="1"/>
  <c r="D59" i="17"/>
  <c r="F59" i="17" s="1"/>
  <c r="D57" i="17"/>
  <c r="F57" i="17" s="1"/>
  <c r="F68" i="13"/>
  <c r="E141" i="21" s="1"/>
  <c r="D15" i="15"/>
  <c r="G9" i="15"/>
  <c r="H49" i="13"/>
  <c r="I49" i="13" s="1"/>
  <c r="H9" i="16"/>
  <c r="H7" i="16"/>
  <c r="H43" i="13"/>
  <c r="I43" i="13" s="1"/>
  <c r="G13" i="15"/>
  <c r="G7" i="15"/>
  <c r="H13" i="16"/>
  <c r="G26" i="15"/>
  <c r="G12" i="15"/>
  <c r="H12" i="16"/>
  <c r="G8" i="15"/>
  <c r="H48" i="13"/>
  <c r="I48" i="13" s="1"/>
  <c r="H8" i="16"/>
  <c r="H42" i="13"/>
  <c r="I42" i="13" s="1"/>
  <c r="D215" i="21" s="1"/>
  <c r="D216" i="21" s="1"/>
  <c r="G6" i="15"/>
  <c r="H10" i="16"/>
  <c r="H46" i="13"/>
  <c r="H11" i="16"/>
  <c r="G11" i="15"/>
  <c r="G10" i="15"/>
  <c r="H47" i="13"/>
  <c r="I47" i="13" s="1"/>
  <c r="I33" i="16"/>
  <c r="F430" i="21" s="1"/>
  <c r="F433" i="21" s="1"/>
  <c r="AH44" i="13"/>
  <c r="AI44" i="13" s="1"/>
  <c r="F228" i="21" s="1"/>
  <c r="F229" i="21" s="1"/>
  <c r="F27" i="15"/>
  <c r="G27" i="15" s="1"/>
  <c r="AF119" i="13"/>
  <c r="D194" i="21" s="1"/>
  <c r="C194" i="21"/>
  <c r="AE69" i="13"/>
  <c r="D179" i="21" s="1"/>
  <c r="D178" i="21"/>
  <c r="M223" i="21" s="1"/>
  <c r="F34" i="16"/>
  <c r="F172" i="21"/>
  <c r="Z41" i="17"/>
  <c r="AB41" i="17" s="1"/>
  <c r="Z33" i="17"/>
  <c r="AB33" i="17" s="1"/>
  <c r="Z37" i="17"/>
  <c r="AB37" i="17" s="1"/>
  <c r="Z29" i="17"/>
  <c r="Z30" i="17"/>
  <c r="AB30" i="17" s="1"/>
  <c r="Z34" i="17"/>
  <c r="AB34" i="17" s="1"/>
  <c r="Z38" i="17"/>
  <c r="AB38" i="17" s="1"/>
  <c r="Z42" i="17"/>
  <c r="AB42" i="17" s="1"/>
  <c r="Z31" i="17"/>
  <c r="AB31" i="17" s="1"/>
  <c r="Z35" i="17"/>
  <c r="AB35" i="17" s="1"/>
  <c r="Z39" i="17"/>
  <c r="AB39" i="17" s="1"/>
  <c r="Z43" i="17"/>
  <c r="AB43" i="17" s="1"/>
  <c r="Z32" i="17"/>
  <c r="AB32" i="17" s="1"/>
  <c r="Z36" i="17"/>
  <c r="AB36" i="17" s="1"/>
  <c r="Z40" i="17"/>
  <c r="AB40" i="17" s="1"/>
  <c r="Z44" i="17"/>
  <c r="AB44" i="17" s="1"/>
  <c r="AF64" i="13"/>
  <c r="D29" i="15"/>
  <c r="AO82" i="13"/>
  <c r="AQ82" i="13" s="1"/>
  <c r="J32" i="16"/>
  <c r="L32" i="16" s="1"/>
  <c r="AG63" i="13"/>
  <c r="AI43" i="13"/>
  <c r="E228" i="21" s="1"/>
  <c r="E229" i="21" s="1"/>
  <c r="AY115" i="11"/>
  <c r="BA114" i="11"/>
  <c r="AF49" i="13" s="1"/>
  <c r="L31" i="16"/>
  <c r="K31" i="16"/>
  <c r="H33" i="16"/>
  <c r="E28" i="15"/>
  <c r="I61" i="13" l="1"/>
  <c r="H134" i="21" s="1"/>
  <c r="F396" i="21"/>
  <c r="F397" i="21" s="1"/>
  <c r="F134" i="21"/>
  <c r="G65" i="13"/>
  <c r="I65" i="13" s="1"/>
  <c r="H138" i="21" s="1"/>
  <c r="J215" i="21"/>
  <c r="J216" i="21" s="1"/>
  <c r="G64" i="13"/>
  <c r="F137" i="21" s="1"/>
  <c r="I215" i="21"/>
  <c r="I216" i="21" s="1"/>
  <c r="G66" i="13"/>
  <c r="F13" i="16" s="1"/>
  <c r="G13" i="16" s="1"/>
  <c r="I13" i="16" s="1"/>
  <c r="K13" i="16" s="1"/>
  <c r="K215" i="21"/>
  <c r="K216" i="21" s="1"/>
  <c r="G62" i="13"/>
  <c r="I62" i="13" s="1"/>
  <c r="H135" i="21" s="1"/>
  <c r="G215" i="21"/>
  <c r="G216" i="21" s="1"/>
  <c r="G60" i="13"/>
  <c r="F7" i="16" s="1"/>
  <c r="G7" i="16" s="1"/>
  <c r="I7" i="16" s="1"/>
  <c r="K7" i="16" s="1"/>
  <c r="E215" i="21"/>
  <c r="E216" i="21" s="1"/>
  <c r="M225" i="21"/>
  <c r="N223" i="21"/>
  <c r="I46" i="13"/>
  <c r="D24" i="14"/>
  <c r="E121" i="2"/>
  <c r="G11" i="14"/>
  <c r="G8" i="14"/>
  <c r="G12" i="14"/>
  <c r="E113" i="2"/>
  <c r="D70" i="17"/>
  <c r="F53" i="17"/>
  <c r="F14" i="15"/>
  <c r="E15" i="15"/>
  <c r="D156" i="21"/>
  <c r="F125" i="13"/>
  <c r="G6" i="14"/>
  <c r="G20" i="14"/>
  <c r="G22" i="14"/>
  <c r="G21" i="14"/>
  <c r="G5" i="14"/>
  <c r="G4" i="14"/>
  <c r="G19" i="14"/>
  <c r="G7" i="14"/>
  <c r="I8" i="16"/>
  <c r="K8" i="16" s="1"/>
  <c r="AH45" i="13"/>
  <c r="AI45" i="13" s="1"/>
  <c r="G228" i="21" s="1"/>
  <c r="G229" i="21" s="1"/>
  <c r="I34" i="16"/>
  <c r="G430" i="21" s="1"/>
  <c r="G433" i="21" s="1"/>
  <c r="E29" i="15"/>
  <c r="AG64" i="13"/>
  <c r="E174" i="21"/>
  <c r="F35" i="16"/>
  <c r="F173" i="21"/>
  <c r="H34" i="16"/>
  <c r="Z46" i="17"/>
  <c r="AB29" i="17"/>
  <c r="AO83" i="13"/>
  <c r="AQ83" i="13" s="1"/>
  <c r="AG49" i="13"/>
  <c r="J33" i="16"/>
  <c r="M31" i="16"/>
  <c r="AY116" i="11"/>
  <c r="BA115" i="11"/>
  <c r="AF50" i="13" s="1"/>
  <c r="AF65" i="13"/>
  <c r="E175" i="21" s="1"/>
  <c r="D30" i="15"/>
  <c r="F28" i="15"/>
  <c r="K32" i="16"/>
  <c r="AI63" i="13"/>
  <c r="H173" i="21" s="1"/>
  <c r="G59" i="13"/>
  <c r="E43" i="10" s="1"/>
  <c r="F138" i="21" l="1"/>
  <c r="F12" i="16"/>
  <c r="G12" i="16" s="1"/>
  <c r="I12" i="16" s="1"/>
  <c r="K12" i="16" s="1"/>
  <c r="I66" i="13"/>
  <c r="H139" i="21" s="1"/>
  <c r="F139" i="21"/>
  <c r="F11" i="16"/>
  <c r="G11" i="16" s="1"/>
  <c r="I11" i="16" s="1"/>
  <c r="K11" i="16" s="1"/>
  <c r="K396" i="21"/>
  <c r="K397" i="21" s="1"/>
  <c r="E396" i="21"/>
  <c r="E397" i="21" s="1"/>
  <c r="I60" i="13"/>
  <c r="H133" i="21" s="1"/>
  <c r="F133" i="21"/>
  <c r="I64" i="13"/>
  <c r="H137" i="21" s="1"/>
  <c r="F9" i="16"/>
  <c r="F135" i="21"/>
  <c r="F136" i="21"/>
  <c r="H215" i="21"/>
  <c r="M227" i="21"/>
  <c r="N225" i="21"/>
  <c r="J34" i="16"/>
  <c r="L34" i="16" s="1"/>
  <c r="L28" i="10"/>
  <c r="E27" i="10" s="1"/>
  <c r="E35" i="10"/>
  <c r="G14" i="15"/>
  <c r="H14" i="16"/>
  <c r="H50" i="13"/>
  <c r="I50" i="13" s="1"/>
  <c r="F15" i="15"/>
  <c r="G15" i="15" s="1"/>
  <c r="C284" i="21"/>
  <c r="F71" i="17"/>
  <c r="F6" i="16"/>
  <c r="F132" i="21"/>
  <c r="F29" i="15"/>
  <c r="E30" i="15"/>
  <c r="F30" i="15" s="1"/>
  <c r="AB47" i="17"/>
  <c r="C336" i="21"/>
  <c r="F36" i="16"/>
  <c r="F174" i="21"/>
  <c r="AI64" i="13"/>
  <c r="H174" i="21" s="1"/>
  <c r="H35" i="16"/>
  <c r="AY117" i="11"/>
  <c r="BA117" i="11" s="1"/>
  <c r="BA116" i="11"/>
  <c r="AF51" i="13" s="1"/>
  <c r="AF66" i="13"/>
  <c r="D31" i="15"/>
  <c r="I35" i="16"/>
  <c r="H430" i="21" s="1"/>
  <c r="H433" i="21" s="1"/>
  <c r="AH46" i="13"/>
  <c r="AG65" i="13"/>
  <c r="L33" i="16"/>
  <c r="K33" i="16"/>
  <c r="G28" i="15"/>
  <c r="AO84" i="13"/>
  <c r="AQ84" i="13" s="1"/>
  <c r="AG50" i="13"/>
  <c r="M32" i="16"/>
  <c r="I59" i="13"/>
  <c r="E39" i="9" s="1"/>
  <c r="E5" i="10"/>
  <c r="D16" i="15"/>
  <c r="E5" i="15"/>
  <c r="F5" i="15" s="1"/>
  <c r="H41" i="13" l="1"/>
  <c r="H5" i="16"/>
  <c r="J396" i="21"/>
  <c r="J397" i="21" s="1"/>
  <c r="I396" i="21"/>
  <c r="I397" i="21" s="1"/>
  <c r="I63" i="13"/>
  <c r="H136" i="21" s="1"/>
  <c r="F10" i="16"/>
  <c r="G10" i="16" s="1"/>
  <c r="I10" i="16" s="1"/>
  <c r="K10" i="16" s="1"/>
  <c r="G9" i="16"/>
  <c r="I9" i="16" s="1"/>
  <c r="K9" i="16" s="1"/>
  <c r="G396" i="21"/>
  <c r="G397" i="21" s="1"/>
  <c r="G67" i="13"/>
  <c r="I67" i="13" s="1"/>
  <c r="H140" i="21" s="1"/>
  <c r="L215" i="21"/>
  <c r="L216" i="21" s="1"/>
  <c r="H216" i="21"/>
  <c r="N227" i="21"/>
  <c r="K34" i="16"/>
  <c r="H132" i="21"/>
  <c r="H51" i="13"/>
  <c r="I51" i="13" s="1"/>
  <c r="H15" i="16"/>
  <c r="G29" i="15"/>
  <c r="G6" i="16"/>
  <c r="I6" i="16" s="1"/>
  <c r="K6" i="16" s="1"/>
  <c r="D396" i="21"/>
  <c r="D397" i="21" s="1"/>
  <c r="AH47" i="13"/>
  <c r="AI47" i="13" s="1"/>
  <c r="I228" i="21" s="1"/>
  <c r="I229" i="21" s="1"/>
  <c r="I36" i="16"/>
  <c r="I430" i="21" s="1"/>
  <c r="I433" i="21" s="1"/>
  <c r="E16" i="15"/>
  <c r="E31" i="15"/>
  <c r="H36" i="16"/>
  <c r="AG66" i="13"/>
  <c r="AI66" i="13" s="1"/>
  <c r="H176" i="21" s="1"/>
  <c r="E176" i="21"/>
  <c r="F37" i="16"/>
  <c r="F175" i="21"/>
  <c r="AH48" i="13"/>
  <c r="AI48" i="13" s="1"/>
  <c r="J228" i="21" s="1"/>
  <c r="M34" i="16"/>
  <c r="M33" i="16"/>
  <c r="AO85" i="13"/>
  <c r="AG51" i="13"/>
  <c r="AF52" i="13"/>
  <c r="J35" i="16"/>
  <c r="AI46" i="13"/>
  <c r="H228" i="21" s="1"/>
  <c r="H229" i="21" s="1"/>
  <c r="AF67" i="13"/>
  <c r="E177" i="21" s="1"/>
  <c r="D32" i="15"/>
  <c r="AI65" i="13"/>
  <c r="H175" i="21" s="1"/>
  <c r="H396" i="21" l="1"/>
  <c r="H397" i="21" s="1"/>
  <c r="F14" i="16"/>
  <c r="L396" i="21" s="1"/>
  <c r="L397" i="21" s="1"/>
  <c r="F140" i="21"/>
  <c r="G68" i="13"/>
  <c r="F141" i="21" s="1"/>
  <c r="M215" i="21"/>
  <c r="M216" i="21" s="1"/>
  <c r="J229" i="21"/>
  <c r="J36" i="16"/>
  <c r="L36" i="16" s="1"/>
  <c r="G5" i="15"/>
  <c r="F31" i="15"/>
  <c r="G31" i="15" s="1"/>
  <c r="E32" i="15"/>
  <c r="H37" i="16"/>
  <c r="G30" i="15"/>
  <c r="F38" i="16"/>
  <c r="F176" i="21"/>
  <c r="I37" i="16"/>
  <c r="J430" i="21" s="1"/>
  <c r="J433" i="21" s="1"/>
  <c r="AF118" i="13"/>
  <c r="C193" i="21"/>
  <c r="AE126" i="13"/>
  <c r="C201" i="21" s="1"/>
  <c r="L35" i="16"/>
  <c r="K35" i="16"/>
  <c r="AG67" i="13"/>
  <c r="AF68" i="13"/>
  <c r="D33" i="15"/>
  <c r="AG52" i="13"/>
  <c r="AQ85" i="13"/>
  <c r="Z64" i="17" s="1"/>
  <c r="AO86" i="13"/>
  <c r="I41" i="13"/>
  <c r="F16" i="15"/>
  <c r="F69" i="13"/>
  <c r="E142" i="21" s="1"/>
  <c r="G58" i="13"/>
  <c r="F131" i="21" s="1"/>
  <c r="F15" i="16" l="1"/>
  <c r="M396" i="21" s="1"/>
  <c r="M397" i="21" s="1"/>
  <c r="I68" i="13"/>
  <c r="H141" i="21" s="1"/>
  <c r="G14" i="16"/>
  <c r="I14" i="16" s="1"/>
  <c r="K14" i="16" s="1"/>
  <c r="K36" i="16"/>
  <c r="I52" i="13"/>
  <c r="C215" i="21"/>
  <c r="F32" i="15"/>
  <c r="G32" i="15" s="1"/>
  <c r="I38" i="16"/>
  <c r="K430" i="21" s="1"/>
  <c r="K433" i="21" s="1"/>
  <c r="AH49" i="13"/>
  <c r="AI49" i="13" s="1"/>
  <c r="K228" i="21" s="1"/>
  <c r="G16" i="15"/>
  <c r="J37" i="16"/>
  <c r="L37" i="16" s="1"/>
  <c r="F39" i="16"/>
  <c r="H39" i="16" s="1"/>
  <c r="F177" i="21"/>
  <c r="AG68" i="13"/>
  <c r="F40" i="16" s="1"/>
  <c r="E178" i="21"/>
  <c r="D193" i="21"/>
  <c r="AF126" i="13"/>
  <c r="D201" i="21" s="1"/>
  <c r="H38" i="16"/>
  <c r="AQ86" i="13"/>
  <c r="Z66" i="17"/>
  <c r="AB66" i="17" s="1"/>
  <c r="Z54" i="17"/>
  <c r="AB54" i="17" s="1"/>
  <c r="Z62" i="17"/>
  <c r="AB62" i="17" s="1"/>
  <c r="Z55" i="17"/>
  <c r="AB55" i="17" s="1"/>
  <c r="Z59" i="17"/>
  <c r="AB59" i="17" s="1"/>
  <c r="Z63" i="17"/>
  <c r="AB63" i="17" s="1"/>
  <c r="Z67" i="17"/>
  <c r="AB67" i="17" s="1"/>
  <c r="Z56" i="17"/>
  <c r="AB56" i="17" s="1"/>
  <c r="Z60" i="17"/>
  <c r="AB60" i="17" s="1"/>
  <c r="AB64" i="17"/>
  <c r="Z68" i="17"/>
  <c r="AB68" i="17" s="1"/>
  <c r="Z57" i="17"/>
  <c r="AB57" i="17" s="1"/>
  <c r="Z61" i="17"/>
  <c r="AB61" i="17" s="1"/>
  <c r="Z65" i="17"/>
  <c r="AB65" i="17" s="1"/>
  <c r="Z53" i="17"/>
  <c r="Z58" i="17"/>
  <c r="AB58" i="17" s="1"/>
  <c r="E33" i="15"/>
  <c r="D34" i="15"/>
  <c r="AI67" i="13"/>
  <c r="H177" i="21" s="1"/>
  <c r="M36" i="16"/>
  <c r="M35" i="16"/>
  <c r="AF69" i="13"/>
  <c r="E179" i="21" s="1"/>
  <c r="H52" i="13"/>
  <c r="G69" i="13"/>
  <c r="F5" i="16"/>
  <c r="C396" i="21" l="1"/>
  <c r="N396" i="21" s="1"/>
  <c r="G5" i="16"/>
  <c r="I5" i="16" s="1"/>
  <c r="G15" i="16"/>
  <c r="I15" i="16" s="1"/>
  <c r="AH50" i="13"/>
  <c r="AI50" i="13" s="1"/>
  <c r="L228" i="21" s="1"/>
  <c r="L229" i="21" s="1"/>
  <c r="K229" i="21"/>
  <c r="C216" i="21"/>
  <c r="N215" i="21"/>
  <c r="N216" i="21" s="1"/>
  <c r="J38" i="16"/>
  <c r="K38" i="16" s="1"/>
  <c r="AG69" i="13"/>
  <c r="F179" i="21" s="1"/>
  <c r="I39" i="16"/>
  <c r="L430" i="21" s="1"/>
  <c r="L433" i="21" s="1"/>
  <c r="K37" i="16"/>
  <c r="M37" i="16" s="1"/>
  <c r="I69" i="13"/>
  <c r="H142" i="21" s="1"/>
  <c r="F142" i="21"/>
  <c r="AI68" i="13"/>
  <c r="H178" i="21" s="1"/>
  <c r="F178" i="21"/>
  <c r="Z70" i="17"/>
  <c r="AB53" i="17"/>
  <c r="F33" i="15"/>
  <c r="E34" i="15"/>
  <c r="H40" i="16"/>
  <c r="F41" i="16"/>
  <c r="F16" i="16"/>
  <c r="C389" i="21" l="1"/>
  <c r="N389" i="21" s="1"/>
  <c r="K15" i="16"/>
  <c r="D19" i="16"/>
  <c r="J401" i="21" s="1"/>
  <c r="L38" i="16"/>
  <c r="AI69" i="13"/>
  <c r="H179" i="21" s="1"/>
  <c r="M38" i="16"/>
  <c r="J39" i="16"/>
  <c r="K39" i="16" s="1"/>
  <c r="J15" i="16"/>
  <c r="I16" i="16"/>
  <c r="D18" i="16"/>
  <c r="J400" i="21" s="1"/>
  <c r="G33" i="15"/>
  <c r="AB71" i="17"/>
  <c r="C361" i="21"/>
  <c r="I40" i="16"/>
  <c r="M430" i="21" s="1"/>
  <c r="M433" i="21" s="1"/>
  <c r="AH51" i="13"/>
  <c r="F34" i="15"/>
  <c r="H41" i="16"/>
  <c r="J8" i="16"/>
  <c r="J12" i="16"/>
  <c r="J5" i="16"/>
  <c r="J6" i="16"/>
  <c r="J14" i="16"/>
  <c r="J7" i="16"/>
  <c r="K5" i="16"/>
  <c r="J9" i="16"/>
  <c r="J13" i="16"/>
  <c r="J10" i="16"/>
  <c r="J11" i="16"/>
  <c r="H16" i="16"/>
  <c r="G16" i="16"/>
  <c r="C392" i="21" l="1"/>
  <c r="C398" i="21" s="1"/>
  <c r="N398" i="21" s="1"/>
  <c r="K16" i="16"/>
  <c r="D24" i="16" s="1"/>
  <c r="J406" i="21" s="1"/>
  <c r="D22" i="16"/>
  <c r="J404" i="21" s="1"/>
  <c r="D21" i="16"/>
  <c r="J403" i="21" s="1"/>
  <c r="L39" i="16"/>
  <c r="C4" i="18"/>
  <c r="J40" i="16"/>
  <c r="I41" i="16"/>
  <c r="G34" i="15"/>
  <c r="L14" i="16"/>
  <c r="AH52" i="13"/>
  <c r="AI51" i="13"/>
  <c r="M39" i="16"/>
  <c r="L11" i="16"/>
  <c r="L7" i="16"/>
  <c r="L8" i="16"/>
  <c r="L15" i="16"/>
  <c r="D23" i="16"/>
  <c r="J405" i="21" s="1"/>
  <c r="L6" i="16"/>
  <c r="L13" i="16"/>
  <c r="L12" i="16"/>
  <c r="L10" i="16"/>
  <c r="L9" i="16"/>
  <c r="C397" i="21" l="1"/>
  <c r="N397" i="21" s="1"/>
  <c r="N392" i="21"/>
  <c r="AI52" i="13"/>
  <c r="M228" i="21"/>
  <c r="N430" i="21"/>
  <c r="L40" i="16"/>
  <c r="L41" i="16" s="1"/>
  <c r="D49" i="16" s="1"/>
  <c r="J442" i="21" s="1"/>
  <c r="D44" i="16"/>
  <c r="J437" i="21" s="1"/>
  <c r="D43" i="16"/>
  <c r="J436" i="21" s="1"/>
  <c r="K40" i="16"/>
  <c r="J41" i="16"/>
  <c r="L16" i="16"/>
  <c r="D20" i="16" s="1"/>
  <c r="J402" i="21" s="1"/>
  <c r="M229" i="21" l="1"/>
  <c r="N228" i="21"/>
  <c r="N229" i="21" s="1"/>
  <c r="C54" i="18"/>
  <c r="D47" i="16"/>
  <c r="J440" i="21" s="1"/>
  <c r="M40" i="16"/>
  <c r="M41" i="16" s="1"/>
  <c r="D45" i="16" s="1"/>
  <c r="J438" i="21" s="1"/>
  <c r="D48" i="16"/>
  <c r="J441" i="21" s="1"/>
  <c r="D46" i="16"/>
  <c r="J439" i="21" s="1"/>
  <c r="C163" i="21" l="1"/>
  <c r="D163" i="21"/>
  <c r="N422" i="21"/>
  <c r="N426" i="21" s="1"/>
  <c r="C426" i="21"/>
  <c r="C434" i="21" s="1"/>
  <c r="C433" i="21" s="1"/>
  <c r="N433" i="21" s="1"/>
  <c r="N434" i="21" l="1"/>
</calcChain>
</file>

<file path=xl/sharedStrings.xml><?xml version="1.0" encoding="utf-8"?>
<sst xmlns="http://schemas.openxmlformats.org/spreadsheetml/2006/main" count="2051" uniqueCount="763">
  <si>
    <t>Cotización del Dólar</t>
  </si>
  <si>
    <t>$U/US$</t>
  </si>
  <si>
    <t>Precio Producto Principal</t>
  </si>
  <si>
    <t>Precio subproducto 1</t>
  </si>
  <si>
    <t>Precio subproducto 2</t>
  </si>
  <si>
    <t>Precio subproducto 3</t>
  </si>
  <si>
    <t>US$</t>
  </si>
  <si>
    <t>TOTAL</t>
  </si>
  <si>
    <t>Producción PP</t>
  </si>
  <si>
    <t>Precio PP</t>
  </si>
  <si>
    <t>Ingresos PP</t>
  </si>
  <si>
    <t>Producción SP1</t>
  </si>
  <si>
    <t>Precio SP1</t>
  </si>
  <si>
    <t>Ingresos SP1</t>
  </si>
  <si>
    <t>Producción SP2</t>
  </si>
  <si>
    <t>Precio SP2</t>
  </si>
  <si>
    <t>Ingresos SP2</t>
  </si>
  <si>
    <t>Producción SP3</t>
  </si>
  <si>
    <t>Precio SP3</t>
  </si>
  <si>
    <t>Ingresos SP3</t>
  </si>
  <si>
    <t>Ingresos Totales</t>
  </si>
  <si>
    <t>US$/Ton</t>
  </si>
  <si>
    <t>US$/m3</t>
  </si>
  <si>
    <t>Año 0</t>
  </si>
  <si>
    <t xml:space="preserve">Año </t>
  </si>
  <si>
    <t>Año #</t>
  </si>
  <si>
    <t>Precio MP 1</t>
  </si>
  <si>
    <t>Precio MP 2</t>
  </si>
  <si>
    <t>Precio MP 3</t>
  </si>
  <si>
    <t>Precio MP 4</t>
  </si>
  <si>
    <t>Precio Insumo 1</t>
  </si>
  <si>
    <t>Precio Insumo 2</t>
  </si>
  <si>
    <t>Precio Insumo 3</t>
  </si>
  <si>
    <t>Precio Insumo 4</t>
  </si>
  <si>
    <t>Agua</t>
  </si>
  <si>
    <t>Energía Eléctrica</t>
  </si>
  <si>
    <t>Costo Insumo 1</t>
  </si>
  <si>
    <t>Costo Insumo 2</t>
  </si>
  <si>
    <t>Costo Insumo 3</t>
  </si>
  <si>
    <t>Costo Insumo 4</t>
  </si>
  <si>
    <t>Consumo MP1</t>
  </si>
  <si>
    <t>Costo MP1</t>
  </si>
  <si>
    <t>Precio MP1</t>
  </si>
  <si>
    <t>Consumo MP2</t>
  </si>
  <si>
    <t>Precio MP2</t>
  </si>
  <si>
    <t>Costo MP2</t>
  </si>
  <si>
    <t>Consumo MP3</t>
  </si>
  <si>
    <t>Precio MP3</t>
  </si>
  <si>
    <t>Costo MP3</t>
  </si>
  <si>
    <t>Consumo MP4</t>
  </si>
  <si>
    <t>Precio MP4</t>
  </si>
  <si>
    <t>Costo MP4</t>
  </si>
  <si>
    <t>Consumo Insumo 1</t>
  </si>
  <si>
    <t>Consumo Insumo 2</t>
  </si>
  <si>
    <t>Consumo Insumo 3</t>
  </si>
  <si>
    <t>Consumo Insumo 4</t>
  </si>
  <si>
    <t>Ton/año</t>
  </si>
  <si>
    <t>Costo Total MP</t>
  </si>
  <si>
    <t>Incluye transporte si aplica</t>
  </si>
  <si>
    <t>Tarifa</t>
  </si>
  <si>
    <t>Nivel de tensión (kV)</t>
  </si>
  <si>
    <t>Precio de energía ($/KWh)</t>
  </si>
  <si>
    <t>Potencia máxima medida ($/KW)</t>
  </si>
  <si>
    <t>GC3</t>
  </si>
  <si>
    <t>$U</t>
  </si>
  <si>
    <t>Valle</t>
  </si>
  <si>
    <t>Llano</t>
  </si>
  <si>
    <t>Punta</t>
  </si>
  <si>
    <t>Cargo Fijo mensual</t>
  </si>
  <si>
    <t>Consumo EE Valle</t>
  </si>
  <si>
    <t>(KWh/mes)</t>
  </si>
  <si>
    <t>Precio EE Valle</t>
  </si>
  <si>
    <t>Costo EE Valle</t>
  </si>
  <si>
    <t>US$/KWh</t>
  </si>
  <si>
    <t>Consumo EE Llano</t>
  </si>
  <si>
    <t>Precio EE Llano</t>
  </si>
  <si>
    <t>Costo EE Llano</t>
  </si>
  <si>
    <t>Consumo EE Punta</t>
  </si>
  <si>
    <t>Precio EE Punta</t>
  </si>
  <si>
    <t>Costo EE Punta</t>
  </si>
  <si>
    <t>Potencia contratada</t>
  </si>
  <si>
    <t>KW</t>
  </si>
  <si>
    <t>Cargo Fijo</t>
  </si>
  <si>
    <t>Costo Total EE</t>
  </si>
  <si>
    <t>Costo Pot Max Valle</t>
  </si>
  <si>
    <t>Costo Pot Max Llano</t>
  </si>
  <si>
    <t>Costo Pot Max Punta</t>
  </si>
  <si>
    <t>Cargos</t>
  </si>
  <si>
    <t>Régimen</t>
  </si>
  <si>
    <t xml:space="preserve">Cantidad Normal </t>
  </si>
  <si>
    <t>Gerente General</t>
  </si>
  <si>
    <t>Departamento de Operaciones</t>
  </si>
  <si>
    <t>Producción</t>
  </si>
  <si>
    <t>Operarios de Planta</t>
  </si>
  <si>
    <t>Carga molinos</t>
  </si>
  <si>
    <t>Depósito limpio y carga reactores</t>
  </si>
  <si>
    <t>Encargados de Planta</t>
  </si>
  <si>
    <t>Control líneas pretratamiento</t>
  </si>
  <si>
    <t>Control reactores</t>
  </si>
  <si>
    <t>Jefe de Producción</t>
  </si>
  <si>
    <t>Mantenimiento</t>
  </si>
  <si>
    <t>Auxiliar de Mantenimiento</t>
  </si>
  <si>
    <t>Logística</t>
  </si>
  <si>
    <t>Encargado de Logística y Compras</t>
  </si>
  <si>
    <t>Ingreso MP, depósito sucio</t>
  </si>
  <si>
    <t>Carga de producto terminado</t>
  </si>
  <si>
    <t>Seguridad y Medio Ambiente</t>
  </si>
  <si>
    <t>Técnico Prevencionista</t>
  </si>
  <si>
    <t>Control de Calidad y Desarrollo</t>
  </si>
  <si>
    <t>Laboratorista</t>
  </si>
  <si>
    <t>Director Técnico</t>
  </si>
  <si>
    <t xml:space="preserve">Jefe Financiero </t>
  </si>
  <si>
    <t>Auxiliar Administrativo</t>
  </si>
  <si>
    <t>Recepcionista</t>
  </si>
  <si>
    <t>Total Personal Contratado</t>
  </si>
  <si>
    <t>Técnico Informático</t>
  </si>
  <si>
    <t>Portero</t>
  </si>
  <si>
    <t>Departamento de Administración y Finanzas</t>
  </si>
  <si>
    <t>Auxiliar Orden y Limpieza</t>
  </si>
  <si>
    <t>Servicios Generales</t>
  </si>
  <si>
    <t>Jefe de Mantenimiento</t>
  </si>
  <si>
    <t>Diurno 8hs</t>
  </si>
  <si>
    <t>Nocturno 8hs</t>
  </si>
  <si>
    <t>Rotativo 6x2</t>
  </si>
  <si>
    <t>Central</t>
  </si>
  <si>
    <t>12 hs/sem</t>
  </si>
  <si>
    <t>20 hs/sem</t>
  </si>
  <si>
    <t>Aportes Patronales</t>
  </si>
  <si>
    <t>Aporte Jubliatorio</t>
  </si>
  <si>
    <t>FONASA</t>
  </si>
  <si>
    <t xml:space="preserve"> + CCM</t>
  </si>
  <si>
    <t>Fondo de Reconversión Laboral (FRL)</t>
  </si>
  <si>
    <t xml:space="preserve">Contribución Especial de Seguridad Social </t>
  </si>
  <si>
    <t>Aporte Jubilatorio</t>
  </si>
  <si>
    <t>FRL</t>
  </si>
  <si>
    <t>CESS</t>
  </si>
  <si>
    <t>Vacacional ($U)</t>
  </si>
  <si>
    <t>Salario Nominal Mensual ($U/mes)</t>
  </si>
  <si>
    <t>Salario Nominal Anual ($U)</t>
  </si>
  <si>
    <t>Aguinaldos ($U)</t>
  </si>
  <si>
    <t>Costo Total Anual ($U)</t>
  </si>
  <si>
    <t>Costo Total Anual (US$)</t>
  </si>
  <si>
    <t>(supongo CCM = 0)</t>
  </si>
  <si>
    <t>Bono</t>
  </si>
  <si>
    <t>Equipos Importados</t>
  </si>
  <si>
    <t>Item</t>
  </si>
  <si>
    <t>Costo por unidad FOB (U$S)</t>
  </si>
  <si>
    <t>Costo por unidad CIF (U$S)</t>
  </si>
  <si>
    <t>Costo por unidad EXW (US$)</t>
  </si>
  <si>
    <t>Costo Transporte Fábrica -&gt; Puerto Origen (US$)</t>
  </si>
  <si>
    <t>Costo del Manejo en el Puerto de Origen (US$)</t>
  </si>
  <si>
    <t>Costo Transporte Puerto Origen -&gt; Puerto Destino (US$)</t>
  </si>
  <si>
    <t>Manejo en el Puerto de MVD (US$)</t>
  </si>
  <si>
    <t>Impuestos a la importación (US$)</t>
  </si>
  <si>
    <t>Costos despacho (US$)</t>
  </si>
  <si>
    <t>Transporte Puerto --&gt; Planta (US$)</t>
  </si>
  <si>
    <t>N° de Unidades</t>
  </si>
  <si>
    <t>Origen</t>
  </si>
  <si>
    <t>Fuente / Cotización</t>
  </si>
  <si>
    <t>Costo Total de un equipo en la planta (US$)</t>
  </si>
  <si>
    <t>Costo Total de los equipos en la planta (US$)</t>
  </si>
  <si>
    <t>Equipos Comprados en Plaza</t>
  </si>
  <si>
    <t>Transporte Fábrica --&gt; Planta (US$)</t>
  </si>
  <si>
    <t>Instalación</t>
  </si>
  <si>
    <t>Costo Total de los equipos instalados en la planta (US$)</t>
  </si>
  <si>
    <t>Inversiones amortizables tangibles</t>
  </si>
  <si>
    <t>Inversiones amortizables intangibles</t>
  </si>
  <si>
    <t>Inversiones no amortizables</t>
  </si>
  <si>
    <t>Terreno</t>
  </si>
  <si>
    <t>Total</t>
  </si>
  <si>
    <t>Obras especiales sobre el terreno</t>
  </si>
  <si>
    <t>Instalaciones provisorias</t>
  </si>
  <si>
    <t>Instalaciones externas</t>
  </si>
  <si>
    <t>Envases</t>
  </si>
  <si>
    <t>Confección proyecto inversión</t>
  </si>
  <si>
    <t>Puesta en marcha</t>
  </si>
  <si>
    <t>Preparación de proyectos técnico de instalación</t>
  </si>
  <si>
    <t>Gastos especiales de promoción</t>
  </si>
  <si>
    <t>Trámites y habilitaciones</t>
  </si>
  <si>
    <t>Inventario en efectivo</t>
  </si>
  <si>
    <t>Inventario de materias primas</t>
  </si>
  <si>
    <t>Inventario de envases</t>
  </si>
  <si>
    <t>Inventario de producto en proceso</t>
  </si>
  <si>
    <t>Inventario de producto terminado</t>
  </si>
  <si>
    <t>Inventario de producto terminado a cobrar</t>
  </si>
  <si>
    <t>En el caso de equipos del MERCOSUR el Impuesto de Importación es 0%.</t>
  </si>
  <si>
    <t>% Equipos Comprados</t>
  </si>
  <si>
    <t>Obras Especiales sobre el Terreno</t>
  </si>
  <si>
    <t xml:space="preserve">El costo de las obras especiales sobre el terreno (cercado, nivelación, calles, aceras, jardinería, etc.) en la mayoría las plantas químicas representan aproximadamente del 10 al 20 por ciento del costo del equipo comprado. </t>
  </si>
  <si>
    <t>Obra Civil (incl. Instalaciones Provisorias)</t>
  </si>
  <si>
    <t>Concepto</t>
  </si>
  <si>
    <t>Colocación de baño autónomo</t>
  </si>
  <si>
    <t>Caseta de obra</t>
  </si>
  <si>
    <t>Jardinería</t>
  </si>
  <si>
    <t>Costo (US$)</t>
  </si>
  <si>
    <t>Obra civil</t>
  </si>
  <si>
    <t>Total Instalaciones Provisorias</t>
  </si>
  <si>
    <t>Pozo de agua</t>
  </si>
  <si>
    <t>Instalación bomberos</t>
  </si>
  <si>
    <t>Taller Mecánico</t>
  </si>
  <si>
    <t>Depósito de Maquinaria y Vehículos</t>
  </si>
  <si>
    <t>Oficinas</t>
  </si>
  <si>
    <t>Vestuarios</t>
  </si>
  <si>
    <t>Planta de tratamiento</t>
  </si>
  <si>
    <t>Área (m2)</t>
  </si>
  <si>
    <t>Costo (US$/m2)</t>
  </si>
  <si>
    <t>En plantas típicas de procesos químicos, las inversiones en instalaciones eléctricas pueden ser de 10 a 15% del valor de compra de los equipos entregados en planta</t>
  </si>
  <si>
    <t>Planta principal</t>
  </si>
  <si>
    <t>Instrumentación y Control</t>
  </si>
  <si>
    <t>COSTO TOTAL DE LOS EQUIPOS PRINCIPALES DE PROCESO INSTALADOS</t>
  </si>
  <si>
    <t>COSTO TOTAL DE LOS EQUIPOS PRINCIPALES DE PROCESO ENTREGADOS EN PLANTA</t>
  </si>
  <si>
    <t>COSTO TOTAL DE LOS EQUIPOS PRINCIPALES DE PROCESO COMPRADOS (FOB)</t>
  </si>
  <si>
    <t>Costo TOTAL FOB (U$S)</t>
  </si>
  <si>
    <t>Costo TOTAL EXW (US$)</t>
  </si>
  <si>
    <t>Cañerías</t>
  </si>
  <si>
    <t>El costo de capital en cañerías puede ser hasta un 80% del costo de compra de los equipos entregados en planta</t>
  </si>
  <si>
    <t>Instalaciones Eléctricas</t>
  </si>
  <si>
    <t>Aislaciones</t>
  </si>
  <si>
    <t>El costo total de mano de obra y materiales requerido para aislar equipos y cañerías en plantas de procesos químicos es aproximadamente 8 – 9 % del costo de compra del equipo</t>
  </si>
  <si>
    <t>Instalaciones de Servicios</t>
  </si>
  <si>
    <t>El costo total para instalaciones de servicio generalmente está en el rango de 30 a 80% del costo de compra de equipos (55% promedio para una planta típica de procesos químicos).</t>
  </si>
  <si>
    <t>Cableado de potencia</t>
  </si>
  <si>
    <t>Iluminación</t>
  </si>
  <si>
    <t>Transformación y servicio</t>
  </si>
  <si>
    <t>Cableado de instrumentación y control</t>
  </si>
  <si>
    <t>Generación de vapor</t>
  </si>
  <si>
    <t>Distribución de vapor</t>
  </si>
  <si>
    <t>Agua, enfriamiento y bombeo</t>
  </si>
  <si>
    <t>Tratamiento de agua</t>
  </si>
  <si>
    <t>Distribución de agua</t>
  </si>
  <si>
    <t>Subestación Eléctrica</t>
  </si>
  <si>
    <t>Distribución Eléctrica</t>
  </si>
  <si>
    <t xml:space="preserve">Suministro y distribución de gas </t>
  </si>
  <si>
    <t>Compresión y distribución de aire</t>
  </si>
  <si>
    <t>Refrigeración, incluyendo distribucion</t>
  </si>
  <si>
    <t>Disposición de residuos de proceso</t>
  </si>
  <si>
    <t>Disposición de residuos sanitarios</t>
  </si>
  <si>
    <t>Comunicaciones</t>
  </si>
  <si>
    <t>Almacenamiento de materia prima</t>
  </si>
  <si>
    <t>Almacenamiento de producto terminado</t>
  </si>
  <si>
    <t>Sistema de protección contra incendio</t>
  </si>
  <si>
    <t>Instalaciones de seguridad</t>
  </si>
  <si>
    <t>Limpieza del terreno</t>
  </si>
  <si>
    <t>Calles y caminos</t>
  </si>
  <si>
    <t>Cercamiento</t>
  </si>
  <si>
    <t>Iluminación exterior</t>
  </si>
  <si>
    <t>Áreas de estacionamiento</t>
  </si>
  <si>
    <t>Otras mejoras</t>
  </si>
  <si>
    <t>Equipos + instalación + instrumentación + cañerías + aislaciones + pintura</t>
  </si>
  <si>
    <t>65-85% de la ICF</t>
  </si>
  <si>
    <t>50-60% de la ICF</t>
  </si>
  <si>
    <t>15-40% de la ICF</t>
  </si>
  <si>
    <t>22-55% del costo total FOB de los equipos</t>
  </si>
  <si>
    <t>8-50% del costo total FOB de los equipos</t>
  </si>
  <si>
    <t>10-80% del costo total FOB de los equipos</t>
  </si>
  <si>
    <t>10-40% del costo total FOB de los equipos</t>
  </si>
  <si>
    <t>Edificios, de proceso y auxiliares</t>
  </si>
  <si>
    <t>10-70% del costo total FOB de los equipos</t>
  </si>
  <si>
    <t>40-100% del costo total FOB de los equipos</t>
  </si>
  <si>
    <t>Costos Indirectos = gastos que no están directamente involucrados con los materiales y la mano de obra de la instalación real de la planta completa</t>
  </si>
  <si>
    <t>Costos Directos = materiales y mano de obra involucrada en la instalación real de la planta completa</t>
  </si>
  <si>
    <t>15-35% de la ICF</t>
  </si>
  <si>
    <t>Ingeniería y Supervisión</t>
  </si>
  <si>
    <t>Gastos Legales</t>
  </si>
  <si>
    <t>Contingencias</t>
  </si>
  <si>
    <t>5-30% de los costos directos</t>
  </si>
  <si>
    <t>1-3% de la ICF</t>
  </si>
  <si>
    <t>10-20% de la ICF</t>
  </si>
  <si>
    <t>5-15% de la ICF</t>
  </si>
  <si>
    <t>Inversión en Capital Fijo (ICF) = Costos Directos + Costos Indirectos</t>
  </si>
  <si>
    <t>Capital de Trabajo</t>
  </si>
  <si>
    <t>10-20% de la ITC</t>
  </si>
  <si>
    <t>Inversión Total de Capital (ITC) = ICF + Capital de Trabajo</t>
  </si>
  <si>
    <t>Gastos de Construcción</t>
  </si>
  <si>
    <t>Honorarios del Contratista</t>
  </si>
  <si>
    <t>Gasto en estudios preliminares</t>
  </si>
  <si>
    <t>Confección del proyecto de inversión</t>
  </si>
  <si>
    <t>Preparación de proyectos técnicos definitivos</t>
  </si>
  <si>
    <t xml:space="preserve">Ejecución de la instalación, Director de Obra. </t>
  </si>
  <si>
    <t>Seguros durante las obras de instalación</t>
  </si>
  <si>
    <t>Capacitación</t>
  </si>
  <si>
    <t>Puesta en Marcha</t>
  </si>
  <si>
    <t>Gastos Especiales de Promoción</t>
  </si>
  <si>
    <t>Gastos de constitución.</t>
  </si>
  <si>
    <t xml:space="preserve">Gastos legales para la formación de la sociedad. </t>
  </si>
  <si>
    <t>Gastos para el diseño del sistema y procedimientos administrativos y de gestión de la empresa.</t>
  </si>
  <si>
    <t>Patentes, llaves, licencias</t>
  </si>
  <si>
    <t>Inventarios en efectivo.</t>
  </si>
  <si>
    <t>Inventario de materias primas.</t>
  </si>
  <si>
    <t>Inventario de envases e insumos.</t>
  </si>
  <si>
    <t>Inventario de productos en proceso.</t>
  </si>
  <si>
    <t>Inventario de productos terminados.</t>
  </si>
  <si>
    <t>Inventario de productos terminados a cobrar.</t>
  </si>
  <si>
    <t>Instalaciones Externas</t>
  </si>
  <si>
    <t>Otros</t>
  </si>
  <si>
    <t>Vehículos</t>
  </si>
  <si>
    <t>Equipos de HSE</t>
  </si>
  <si>
    <t>%</t>
  </si>
  <si>
    <t>Total del Inversiones No Amortizables</t>
  </si>
  <si>
    <t>de la ICF</t>
  </si>
  <si>
    <t>Maquinaria y equipos de proceso instalados</t>
  </si>
  <si>
    <t>Muebles, equipos, útiles de oficina, vestuarios y comedor</t>
  </si>
  <si>
    <t>Muebles y equipos de oficina, vestuario, comedor</t>
  </si>
  <si>
    <t>Equipos HSE</t>
  </si>
  <si>
    <t>Gastos legales y de constitución</t>
  </si>
  <si>
    <t>Ajustes/Imprevistos</t>
  </si>
  <si>
    <t>Contratista y Ejecución de la instalación</t>
  </si>
  <si>
    <t>miles de US$</t>
  </si>
  <si>
    <t>Mejoras al terreno</t>
  </si>
  <si>
    <t>Instalaciones de servicio</t>
  </si>
  <si>
    <t>4-8% del costo total FOB de los equipos</t>
  </si>
  <si>
    <t>Estimación (% de la ICF)</t>
  </si>
  <si>
    <t xml:space="preserve"> 15-40</t>
  </si>
  <si>
    <t xml:space="preserve"> 6-14</t>
  </si>
  <si>
    <t xml:space="preserve"> 2-12</t>
  </si>
  <si>
    <t xml:space="preserve"> 4-17</t>
  </si>
  <si>
    <t xml:space="preserve"> 2-10</t>
  </si>
  <si>
    <t xml:space="preserve"> 2-18</t>
  </si>
  <si>
    <t xml:space="preserve"> 2-5</t>
  </si>
  <si>
    <t xml:space="preserve"> 8-30</t>
  </si>
  <si>
    <t xml:space="preserve"> 1-2</t>
  </si>
  <si>
    <t xml:space="preserve"> 4-20</t>
  </si>
  <si>
    <t xml:space="preserve"> 1-3</t>
  </si>
  <si>
    <t xml:space="preserve"> 2-6</t>
  </si>
  <si>
    <t xml:space="preserve"> 5-15</t>
  </si>
  <si>
    <t>Gastos de construcción</t>
  </si>
  <si>
    <t>El costo de compra de un equipo en típicas plantas de procesos químicos varía de 65 a 80% del costo total instalado del equipo.</t>
  </si>
  <si>
    <t>El costo de instalación de los equipos, está estimado que varía en promedio de 25 a 55% del costo del equipo comprado y entregado en planta.</t>
  </si>
  <si>
    <t xml:space="preserve">Este costo representa un 5% de la inversión total de capital. </t>
  </si>
  <si>
    <t>20% del costo total de capital</t>
  </si>
  <si>
    <t>se estima generalmente entre 4 y 8% de la inversión de capital fijo.</t>
  </si>
  <si>
    <t>Esto es aprox. 2% de la inversión total de capital</t>
  </si>
  <si>
    <t>Esto es equivalente a aproximadamente del 2 al 5 por ciento de la inversión de capital fijo.</t>
  </si>
  <si>
    <t>1 al 3% de la inversión total en capital fijo.</t>
  </si>
  <si>
    <t>8 al 10% de la inversión en capital fijo de la planta</t>
  </si>
  <si>
    <t>5-15% de la inversión en capital fijo, 8% valor promedio razonable</t>
  </si>
  <si>
    <t>La experiencia ha mostrado que los costos de puesta en marcha son un porcentaje de la inversión en capital fijo del orden, en promedio, del 3%.</t>
  </si>
  <si>
    <t>Estimación 1</t>
  </si>
  <si>
    <t>Estimación 2</t>
  </si>
  <si>
    <t>Estimación 3</t>
  </si>
  <si>
    <t xml:space="preserve">Como valor promedio, los costos del terreno para plantas industriales corresponden a un 4 a 8% del costo de compra de los equipos </t>
  </si>
  <si>
    <t xml:space="preserve">1 a 2% de la inversión total de capital. </t>
  </si>
  <si>
    <t>Valor final Estimado</t>
  </si>
  <si>
    <t>% ITC</t>
  </si>
  <si>
    <t>% ICF</t>
  </si>
  <si>
    <t>»</t>
  </si>
  <si>
    <t>% Equipos Entregados</t>
  </si>
  <si>
    <t>UTE</t>
  </si>
  <si>
    <t>Gas</t>
  </si>
  <si>
    <t>Saneamiento</t>
  </si>
  <si>
    <t>Comedor</t>
  </si>
  <si>
    <t>Autoelevadores</t>
  </si>
  <si>
    <t>Autos</t>
  </si>
  <si>
    <t>Camionetas</t>
  </si>
  <si>
    <t>Camiones</t>
  </si>
  <si>
    <t>Motos</t>
  </si>
  <si>
    <t>Laboratorio / Planta</t>
  </si>
  <si>
    <t>Cascos</t>
  </si>
  <si>
    <t>Overoles</t>
  </si>
  <si>
    <t>Máscaras</t>
  </si>
  <si>
    <t>Lentes</t>
  </si>
  <si>
    <t>Orejeras</t>
  </si>
  <si>
    <t>Extintores</t>
  </si>
  <si>
    <t>30% del costo del equipo entregado</t>
  </si>
  <si>
    <t>8% de la inversión de capital fijo para la planta de proceso</t>
  </si>
  <si>
    <t>OVE incluye los costos de ingeniería básica y de detalle, gestión del Proyecto, dirección de obra en sitio y puesta en marcha</t>
  </si>
  <si>
    <t>1,5 a 6% de la inversión en capital fijo</t>
  </si>
  <si>
    <t>2 a 8% de los Costos Directos</t>
  </si>
  <si>
    <t>Incluye:</t>
  </si>
  <si>
    <t>Planta de Fluidos</t>
  </si>
  <si>
    <t>Estimación 4</t>
  </si>
  <si>
    <t>Estimación 5</t>
  </si>
  <si>
    <t>80-100% de inversión sobre el costo FOB de los equipos</t>
  </si>
  <si>
    <t>20-30% de inversión en capital fijo</t>
  </si>
  <si>
    <t>Perry 8°</t>
  </si>
  <si>
    <t>20-40% de inversión sobre el costo FOB de los equipos</t>
  </si>
  <si>
    <t>5-10% de inversión en capital fijo</t>
  </si>
  <si>
    <t>20-50% de inversión sobre el costo FOB de los equipos</t>
  </si>
  <si>
    <t>10-20% de inversión en capital fijo</t>
  </si>
  <si>
    <t>15-20% de inversión sobre el costo FOB de los equipos</t>
  </si>
  <si>
    <t>3-7% de inversión en capital fijo</t>
  </si>
  <si>
    <t>Costo Puesta en Marcha = (Costo diario) x (días)</t>
  </si>
  <si>
    <t>Estimación (%)</t>
  </si>
  <si>
    <t>Una semana del costo de producción.</t>
  </si>
  <si>
    <t>2 semanas a 1 mes del costo entregado de las materias primas</t>
  </si>
  <si>
    <t>Suma</t>
  </si>
  <si>
    <t>Un número típico promedio para plantas químicas es 15% del capital fijo (Towler &amp; Sinnott)</t>
  </si>
  <si>
    <t>La mayoría de las plantas químicas utilizan un capital de trabajo inicial que asciende a 10 a 20% de la inversión total de capital. (Peters &amp; Timmerhaus)</t>
  </si>
  <si>
    <t>de la ITC</t>
  </si>
  <si>
    <t>15-25% de la inversión total de capital (Perry 8°Ed)</t>
  </si>
  <si>
    <t>15-45% de los ingresos por ventas, 30-35% valor promedio razonable (Perry 8° Ed)</t>
  </si>
  <si>
    <t>de Ingresos</t>
  </si>
  <si>
    <t>1 mes de producción al costo</t>
  </si>
  <si>
    <t>1 mes de producción al costo (ventas a crédito 30 días)</t>
  </si>
  <si>
    <t>Inversión</t>
  </si>
  <si>
    <t>Costo por equipo instalado en planta (US$)</t>
  </si>
  <si>
    <t>Año de Compra</t>
  </si>
  <si>
    <t>Costo por equipo (US$)</t>
  </si>
  <si>
    <t>Años de amortización</t>
  </si>
  <si>
    <t>Año 1</t>
  </si>
  <si>
    <t>Año 2</t>
  </si>
  <si>
    <t>Año 3</t>
  </si>
  <si>
    <t>Año 5</t>
  </si>
  <si>
    <t>Año 4</t>
  </si>
  <si>
    <t>Año 6</t>
  </si>
  <si>
    <t>Año 7</t>
  </si>
  <si>
    <t>Año 8</t>
  </si>
  <si>
    <t>Año 9</t>
  </si>
  <si>
    <t>Año 10</t>
  </si>
  <si>
    <t>Valor Residual</t>
  </si>
  <si>
    <t>Calendario de Inversiones (US$)</t>
  </si>
  <si>
    <t>Costo Total Insumos</t>
  </si>
  <si>
    <t>Costos de Producción</t>
  </si>
  <si>
    <t>Amortizaciones</t>
  </si>
  <si>
    <t>Seguros</t>
  </si>
  <si>
    <t>Año</t>
  </si>
  <si>
    <t>% Inv Capital Fijo</t>
  </si>
  <si>
    <t>Costos de Comercialización y Administración</t>
  </si>
  <si>
    <t>Otros insumos operativos</t>
  </si>
  <si>
    <t>Costo Mantenimiento</t>
  </si>
  <si>
    <t>Costos de Laboratorio</t>
  </si>
  <si>
    <t>RRHH Producción</t>
  </si>
  <si>
    <t>Estimación</t>
  </si>
  <si>
    <t>Costo Total del Producto</t>
  </si>
  <si>
    <t>Materias primas</t>
  </si>
  <si>
    <t>10-80%</t>
  </si>
  <si>
    <t>Mano de obra operativa</t>
  </si>
  <si>
    <t>10-20%</t>
  </si>
  <si>
    <t>Insumos</t>
  </si>
  <si>
    <t>Gastos de Laboratorio</t>
  </si>
  <si>
    <t>Patentes y regalías</t>
  </si>
  <si>
    <t>2-10%</t>
  </si>
  <si>
    <t>Inversión de Capital Fijo</t>
  </si>
  <si>
    <t>0-6%</t>
  </si>
  <si>
    <t>Costos Fijos</t>
  </si>
  <si>
    <t>Amortización</t>
  </si>
  <si>
    <t>Impuestos</t>
  </si>
  <si>
    <t>Alquileres</t>
  </si>
  <si>
    <t>Intereses Financieros</t>
  </si>
  <si>
    <t>1-4%</t>
  </si>
  <si>
    <t>0,4-1%</t>
  </si>
  <si>
    <t>8-12%</t>
  </si>
  <si>
    <t>Valor del terreno o edificios alquilados</t>
  </si>
  <si>
    <t>0-10%</t>
  </si>
  <si>
    <t>50-70%</t>
  </si>
  <si>
    <t>Mano de obra operativa + supervisión y mantenimiento</t>
  </si>
  <si>
    <t>15-25%</t>
  </si>
  <si>
    <t>Costos Administrativos</t>
  </si>
  <si>
    <t>Costos de distribución y comercialización</t>
  </si>
  <si>
    <t>2-20%</t>
  </si>
  <si>
    <t>Investigación y Desarrollo</t>
  </si>
  <si>
    <t>Utilidades (electricidad, agua, combustible, refrigeración, vapor, desechos)</t>
  </si>
  <si>
    <t>Costos Fiscales</t>
  </si>
  <si>
    <t>Impuesto a la Renta</t>
  </si>
  <si>
    <t>ICOSA</t>
  </si>
  <si>
    <t>Inversiones</t>
  </si>
  <si>
    <t>Patrimonio</t>
  </si>
  <si>
    <t>IP</t>
  </si>
  <si>
    <t>Patrimonio de la Empresa</t>
  </si>
  <si>
    <t>para la constitución de la SA</t>
  </si>
  <si>
    <t>para cada cierre de ejercicio</t>
  </si>
  <si>
    <t>UI</t>
  </si>
  <si>
    <t>se aplica sobre</t>
  </si>
  <si>
    <t>&lt;&gt;</t>
  </si>
  <si>
    <t>$U/UI</t>
  </si>
  <si>
    <t>IRAE</t>
  </si>
  <si>
    <t>Otros Costos &lt;&gt; Overhead</t>
  </si>
  <si>
    <t>RRHH Ops + Sup + Mant</t>
  </si>
  <si>
    <t>Ingresos</t>
  </si>
  <si>
    <t>Costos Totales</t>
  </si>
  <si>
    <t>Utilidad Neta Disponible</t>
  </si>
  <si>
    <t>Producción (m3)</t>
  </si>
  <si>
    <t>Capital Propio</t>
  </si>
  <si>
    <t>Costo de Ganancias Brutas</t>
  </si>
  <si>
    <t>15-40%</t>
  </si>
  <si>
    <t>Ganancias Brutas</t>
  </si>
  <si>
    <t>IAT</t>
  </si>
  <si>
    <t>IAI</t>
  </si>
  <si>
    <t>INA</t>
  </si>
  <si>
    <t>2 semanas a 1 mes del costo entregado de los envases e insumos</t>
  </si>
  <si>
    <t>m3</t>
  </si>
  <si>
    <t xml:space="preserve">Costo MP </t>
  </si>
  <si>
    <t>Costo Producto Terminado</t>
  </si>
  <si>
    <t>Ingresos (US$)</t>
  </si>
  <si>
    <t>Inversiones Totales (US$)</t>
  </si>
  <si>
    <t>Costos Operativos (US$)</t>
  </si>
  <si>
    <t>Costos Totales s/IRAE</t>
  </si>
  <si>
    <t>Flujo de Fondo Bruto (US$)</t>
  </si>
  <si>
    <t>Impuesto a la Renta (US$)</t>
  </si>
  <si>
    <t>Flujo de Fondo Neto (US$)</t>
  </si>
  <si>
    <t>FF Neto Acumulado (US$)</t>
  </si>
  <si>
    <t>Tasa de descuento</t>
  </si>
  <si>
    <t>FF Neto Descontado (US$)</t>
  </si>
  <si>
    <t>VAN</t>
  </si>
  <si>
    <t>TIR</t>
  </si>
  <si>
    <t>ROI</t>
  </si>
  <si>
    <t>Perído de Repago</t>
  </si>
  <si>
    <t>FFMN</t>
  </si>
  <si>
    <t>Valor terminal del proyecto</t>
  </si>
  <si>
    <t>VP Inversiones (US$)</t>
  </si>
  <si>
    <t>Índice de Valor Presente</t>
  </si>
  <si>
    <t>Repago</t>
  </si>
  <si>
    <t>años</t>
  </si>
  <si>
    <t>Costos Variables</t>
  </si>
  <si>
    <t xml:space="preserve">Punto de Equilibrio </t>
  </si>
  <si>
    <t>CT</t>
  </si>
  <si>
    <t>CF</t>
  </si>
  <si>
    <t>CV</t>
  </si>
  <si>
    <t>UP</t>
  </si>
  <si>
    <t>Unidades PP (m3)</t>
  </si>
  <si>
    <t>CV (US$/m3)</t>
  </si>
  <si>
    <t>V</t>
  </si>
  <si>
    <t>Pto de Eq</t>
  </si>
  <si>
    <t>Prod Año 1</t>
  </si>
  <si>
    <t>Prod Año 5</t>
  </si>
  <si>
    <t>Prod Año 10</t>
  </si>
  <si>
    <t>% de variación</t>
  </si>
  <si>
    <t>Precio Producto</t>
  </si>
  <si>
    <t>Costo (US$/m3)</t>
  </si>
  <si>
    <t>Costo Total (US$)</t>
  </si>
  <si>
    <t>Ítem</t>
  </si>
  <si>
    <t>Costo Mano de Obra</t>
  </si>
  <si>
    <t>VAN (MMUS$)</t>
  </si>
  <si>
    <t>Costo IAT Año 0</t>
  </si>
  <si>
    <t>Mónto préstamo</t>
  </si>
  <si>
    <t>Tasa de interés</t>
  </si>
  <si>
    <t>Período de gracia</t>
  </si>
  <si>
    <t>Años pago</t>
  </si>
  <si>
    <t>Saldo del préstamo (US$)</t>
  </si>
  <si>
    <t>Amortización del préstamo (US$)</t>
  </si>
  <si>
    <t>Interés (US$)</t>
  </si>
  <si>
    <t>Servicio de deuda (US$)</t>
  </si>
  <si>
    <t>Saldo del préstamo al final del año (US$)</t>
  </si>
  <si>
    <t>Inversiones Amortizables</t>
  </si>
  <si>
    <t>Inversiones No Amortizables</t>
  </si>
  <si>
    <t>años + el Año 0</t>
  </si>
  <si>
    <t>Capital Mixto</t>
  </si>
  <si>
    <t>Costo de Constitución de las Garantías</t>
  </si>
  <si>
    <t>Intereses Intercalarios</t>
  </si>
  <si>
    <t>Costo de Constitución de la Garantía</t>
  </si>
  <si>
    <t>CAPITAL PROPIO</t>
  </si>
  <si>
    <t>CAPITAL MIXTO</t>
  </si>
  <si>
    <t>Activo</t>
  </si>
  <si>
    <t>Pasivo</t>
  </si>
  <si>
    <t>Pago del Préstamo</t>
  </si>
  <si>
    <t>Análisis de Sensibilidad - Capital Propio</t>
  </si>
  <si>
    <t>MMUS$</t>
  </si>
  <si>
    <t>Análisis de Sensibilidad - Capital Mixto</t>
  </si>
  <si>
    <t>INVERSIONES</t>
  </si>
  <si>
    <t>INVERSIONES - CAPITAL PROPIO</t>
  </si>
  <si>
    <t>INVERSIONES - CAPITAL MIXTO</t>
  </si>
  <si>
    <t>Materias Primas (US$)</t>
  </si>
  <si>
    <t>Materiales e Insumos (US$)</t>
  </si>
  <si>
    <t>Mano de Obra Producción (US$)</t>
  </si>
  <si>
    <t>Combustibles y lubricantes (US$)</t>
  </si>
  <si>
    <t>Energía Eléctrica (US$)</t>
  </si>
  <si>
    <t>Agua (US$)</t>
  </si>
  <si>
    <t>Amortizaciones (US$)</t>
  </si>
  <si>
    <t>Envases (US$)</t>
  </si>
  <si>
    <t>Mantenimiento (US$)</t>
  </si>
  <si>
    <t>Seguros (US$)</t>
  </si>
  <si>
    <t>Gastos de Laboratorio (US$)</t>
  </si>
  <si>
    <t>Patentes y Regalías (US$)</t>
  </si>
  <si>
    <t>Total Costos Producción (US$)</t>
  </si>
  <si>
    <t>Mano de Obra Admin (US$)</t>
  </si>
  <si>
    <t>Gastos de Promoción (US$)</t>
  </si>
  <si>
    <t>Otros Costos (US$)</t>
  </si>
  <si>
    <t>Total de Costos Admin (US$)</t>
  </si>
  <si>
    <t>Tasas Municipales (US$)</t>
  </si>
  <si>
    <t>ICOSA (US$)</t>
  </si>
  <si>
    <t>Impuesto al Patrimonio (US$)</t>
  </si>
  <si>
    <t>Total Costos Fiscales s/IRAE (US$)</t>
  </si>
  <si>
    <t>Total Costos Fiscales (US$)</t>
  </si>
  <si>
    <t>Costos de Producción (US$)</t>
  </si>
  <si>
    <t>Costos Admin (US$)</t>
  </si>
  <si>
    <t>Costos Fiscales (US$)</t>
  </si>
  <si>
    <t>Total Costos s/IRAE (US$)</t>
  </si>
  <si>
    <t>Mano de Obra (US$)</t>
  </si>
  <si>
    <t>Costos Fijos Totales (US$)</t>
  </si>
  <si>
    <t>Costos Variables Totales (US$)</t>
  </si>
  <si>
    <t>Costos Financieros (US$)</t>
  </si>
  <si>
    <t>COSTOS - CAPITAL PROPIO</t>
  </si>
  <si>
    <t>COSTOS - CAPITAL MIXTO</t>
  </si>
  <si>
    <t>PUNTO DE EQUILIBRIO - CAPITAL PROPIO</t>
  </si>
  <si>
    <t>PUNTO DE EQUILIBRIO - CAPITAL MIXTO</t>
  </si>
  <si>
    <t>VIABILIDAD FINANCIERA - CAPITAL PROPIO</t>
  </si>
  <si>
    <t>Fuentes</t>
  </si>
  <si>
    <t>Ingresos por Ventas</t>
  </si>
  <si>
    <t>Suma de Fuentes</t>
  </si>
  <si>
    <t>Usos</t>
  </si>
  <si>
    <t>Egresos por Inv Amortizables</t>
  </si>
  <si>
    <t>Egresos por Inv No Amortizables</t>
  </si>
  <si>
    <t>Excedentes</t>
  </si>
  <si>
    <t>Suma de Usos</t>
  </si>
  <si>
    <t>Flujo de Fondo Máximo Negativo</t>
  </si>
  <si>
    <t>VIABILIDAD FINANCIERA - CAPITAL MIXTO</t>
  </si>
  <si>
    <t>Capital Prestado</t>
  </si>
  <si>
    <t>Nuevos Costos de Producción</t>
  </si>
  <si>
    <t>Intereses</t>
  </si>
  <si>
    <t>Amortización del Préstamo</t>
  </si>
  <si>
    <t>ANÁLISIS DE SENSIBILIDAD - CAPITAL PROPIO</t>
  </si>
  <si>
    <t>ANÁLISIS DE SENSIBILIDAD - CAPITAL MIXTO</t>
  </si>
  <si>
    <t>Productos</t>
  </si>
  <si>
    <t>Precio</t>
  </si>
  <si>
    <t>Unidad</t>
  </si>
  <si>
    <t>Equipo P1</t>
  </si>
  <si>
    <t>Equipo P2</t>
  </si>
  <si>
    <t>Equipo P3</t>
  </si>
  <si>
    <t>Equipo P4</t>
  </si>
  <si>
    <t>Equipo P5</t>
  </si>
  <si>
    <t>Equipo I1</t>
  </si>
  <si>
    <t>Equipo I2</t>
  </si>
  <si>
    <t>Equipo I3</t>
  </si>
  <si>
    <t>Equipo I4</t>
  </si>
  <si>
    <t>Equipo I5</t>
  </si>
  <si>
    <t>Equipo I6</t>
  </si>
  <si>
    <t>Equipo I7</t>
  </si>
  <si>
    <t>Equipo I8</t>
  </si>
  <si>
    <t>Equipo I9</t>
  </si>
  <si>
    <t>Equipo I10</t>
  </si>
  <si>
    <t>Equipo I11</t>
  </si>
  <si>
    <t>Equipo I12</t>
  </si>
  <si>
    <t>Equipo I13</t>
  </si>
  <si>
    <t>Equipo I14</t>
  </si>
  <si>
    <t>Equipo I15</t>
  </si>
  <si>
    <t>Equipo I16</t>
  </si>
  <si>
    <t>Equipo I17</t>
  </si>
  <si>
    <t>Equipo I18</t>
  </si>
  <si>
    <t>Equipo I19</t>
  </si>
  <si>
    <t>Equipo I20</t>
  </si>
  <si>
    <t>Equipo I21</t>
  </si>
  <si>
    <t>Equipo I22</t>
  </si>
  <si>
    <t>Equipo I23</t>
  </si>
  <si>
    <t>Equipo I24</t>
  </si>
  <si>
    <t>Equipo I25</t>
  </si>
  <si>
    <t>Equipo I26</t>
  </si>
  <si>
    <t>Equipo I27</t>
  </si>
  <si>
    <t>Equipo I28</t>
  </si>
  <si>
    <t>Equipo I29</t>
  </si>
  <si>
    <t>Equipo I30</t>
  </si>
  <si>
    <t>Equipo I31</t>
  </si>
  <si>
    <t>Instalación (%)</t>
  </si>
  <si>
    <t>Costo FOB / Costo Instalado</t>
  </si>
  <si>
    <t>Valor o cotización obtenida / estimada por Uds</t>
  </si>
  <si>
    <t>Peters,  Timmerhaus; 5° Ed</t>
  </si>
  <si>
    <t>Peters,  Timmerhaus; 4° Ed</t>
  </si>
  <si>
    <t>Perry 8° Ed</t>
  </si>
  <si>
    <t>% IFC; Valores desagregados Peters,  Timmerhaus; 4° Ed</t>
  </si>
  <si>
    <t>Instalaciones de Proceso y de Servicio</t>
  </si>
  <si>
    <t>Estimación 6</t>
  </si>
  <si>
    <t xml:space="preserve">La inversión total en instrumentación y control depende del tipo de proceso, el requerimiento de control, etc. y puede significar: </t>
  </si>
  <si>
    <t xml:space="preserve">8 - 50% del costo total de todos los equipos entregados en planta (valor típico 26%). </t>
  </si>
  <si>
    <t>13% de la Inversión de Capital Fijo (Tabla 6-6)</t>
  </si>
  <si>
    <t>Total de Instalaciones de Proceso y de Servicio</t>
  </si>
  <si>
    <t>% del Costo total de Instalaciones Eléctricas</t>
  </si>
  <si>
    <t>Tabla 6-8</t>
  </si>
  <si>
    <t>El costo de las instalaciones de servicio, está en un rango del 8 al 20% de la inversión total de capital fijo, siendo 14% un promedio a considerar.</t>
  </si>
  <si>
    <t>OVE: Overall Engineering Costs</t>
  </si>
  <si>
    <t>Buenas Prácticas en la Estimación del Costo de un Proyecto Industrial; Joaquín Arocena; Proyectos Ingeniería SRL (PI)</t>
  </si>
  <si>
    <t>(Otra Estimación)</t>
  </si>
  <si>
    <t xml:space="preserve">La inversión de capital para ingeniería y supervisión incluye: diseño e ingeniería, licencias de softwares, planos, </t>
  </si>
  <si>
    <t>gestión de compras, contabilidad, ingeniería de costos y construcción, los gastos de viajes, comunicaciones y oficinas, overhead</t>
  </si>
  <si>
    <t>Gastos de construcción o de campo e incluyen: construcción y operación temporal, herramientas de construcción y alquiler, personal ubicado en el sitio de construcción,</t>
  </si>
  <si>
    <t>nómina de construcción, viajes y costos de vida, impuestos y seguros, y otros gastos generales de construcción</t>
  </si>
  <si>
    <t>N° días</t>
  </si>
  <si>
    <t>Un mes de sueldos y salarios</t>
  </si>
  <si>
    <t>Semanas</t>
  </si>
  <si>
    <t>Materias Primas e Insumos</t>
  </si>
  <si>
    <t>Vidas útiles máximas reconocidas por el MIEM</t>
  </si>
  <si>
    <t>EQUIPO / MEDIDA</t>
  </si>
  <si>
    <t>VU_máxima</t>
  </si>
  <si>
    <t>Aclaraciones importantes</t>
  </si>
  <si>
    <t>Aerogeneradores, paneles solares fotovoltaicos</t>
  </si>
  <si>
    <t>Años</t>
  </si>
  <si>
    <t>Aires acondicionados (tipo comercial y residencial)</t>
  </si>
  <si>
    <t>Aislamiento térmica de equipos y/o cañerías</t>
  </si>
  <si>
    <t>Aislamiento térmico edilicio expuesto</t>
  </si>
  <si>
    <t>Aislamiento térmico edilicio confinado</t>
  </si>
  <si>
    <t>Calentadores de agua eléctricos de acumulación de uso doméstico</t>
  </si>
  <si>
    <t>Calentadores, chillers, bombas, ventiladores, compresores, etc. utilizados en sistemas de calefacción, ventilación y aire acondicionado (HVAC)</t>
  </si>
  <si>
    <t>Generadores de vapor nuevos</t>
  </si>
  <si>
    <t>Generadores eléctricos enfriados por aire</t>
  </si>
  <si>
    <t>Generadores eléctricos enfriados por hidrógeno o agua</t>
  </si>
  <si>
    <t>Grifería de caudal eficiente</t>
  </si>
  <si>
    <t>Intercambiadores de calor de proceso (ejs: pasteurizadores, termizadores, etc.)</t>
  </si>
  <si>
    <t>Luminarias Fluorescentes Compactas (LFC)</t>
  </si>
  <si>
    <t>Horas</t>
  </si>
  <si>
    <t>Si en la hoja "MMEE" el resultado del cálculo de la vida útil en años, en función de las horas de uso/año del equipo, supera los 6 años, se debe utilizar 6 años.</t>
  </si>
  <si>
    <t>Luminarias Fluorescentes Lineales (LFL)</t>
  </si>
  <si>
    <t>Luminarias LED – exteriores</t>
  </si>
  <si>
    <t>Si en la hoja "MMEE" el resultado del cálculo de la vida útil en años, en función de las horas de uso/año del equipo, supera los 20 años, se debe utilizar 20 años.</t>
  </si>
  <si>
    <t>Luminarias LED interiores no tubos</t>
  </si>
  <si>
    <t>Si en la hoja "MMEE" el resultado del cálculo de la vida útil en años, en función de las horas de uso/año del equipo, supera los 10 años, se debe utilizar 10 años.</t>
  </si>
  <si>
    <t>Luminarias LED tubos</t>
  </si>
  <si>
    <t>Si el resultado del cálculo de la vida útil en años, en función de las horas de uso/año del equipo, supera los 10 años, se debe utilizar 10 años.</t>
  </si>
  <si>
    <t>Otras medidas de aislamiento térmico edilicio</t>
  </si>
  <si>
    <t>Si en la hoja "MMEE" el resultado del cálculo de la vida útil en años, en función de las horas de uso/año del equipo, supera los 10años, se debe utilizar 10 años.</t>
  </si>
  <si>
    <t>Mejoras operativas, de gestión, mejores prácticas o cambios culturales</t>
  </si>
  <si>
    <t>Motores (eléctricos, combustión interna, etc.) para fuentes fijas</t>
  </si>
  <si>
    <t>Ómnibus (de combustión interna)</t>
  </si>
  <si>
    <t>Otros equipos de producción</t>
  </si>
  <si>
    <t>Paneles solares térmicos</t>
  </si>
  <si>
    <t>Refrigeradores, freezers (tipo comercial y residencial)</t>
  </si>
  <si>
    <t>Servidores informáticos y PCs de escritorio</t>
  </si>
  <si>
    <t>Set turbina-generador a diesel/fuel oil/gas</t>
  </si>
  <si>
    <t>Si en la hoja "MMEE" el resultado del cálculo de la vida útil en años, en función de las horas de uso/año del equipo, supera los 25 años, se debe utilizar 25 años.</t>
  </si>
  <si>
    <t>Sustitución de combustibles en flotas vehiculares</t>
  </si>
  <si>
    <t>Transformadores</t>
  </si>
  <si>
    <t>Turbinas a gas de más de 50 MW</t>
  </si>
  <si>
    <t>Si en la hoja "MMEE" l resultado del cálculo de la vida útil en años, en función de las horas de uso/año del equipo, supera los 25 años, se debe utilizar 25 años.</t>
  </si>
  <si>
    <t>Turbinas a gas hasta 50 MW</t>
  </si>
  <si>
    <t>Turbinas a vapor</t>
  </si>
  <si>
    <t>Turbinas hidroeléctricas</t>
  </si>
  <si>
    <t>Variadores de frecuencia en equipos ya operativos, sistemas informáticos de gestión o domótica en equipos ya operativos, cambios de partes o componentes en equipos ya operativos (ej.: tubos de calderas, rebobinado de motores), aumento de capacidades de compresores, etc.</t>
  </si>
  <si>
    <t>Remanente del/los equipos</t>
  </si>
  <si>
    <t>En caso de sistemas instalados en un conjunto de equipos, la vida útil será la del equipo con menor vida útil remanente.  </t>
  </si>
  <si>
    <t>Taxis y remises de combustión interna</t>
  </si>
  <si>
    <t>Vehículos de combustión interna o eléctricos de batería de plomo ácido</t>
  </si>
  <si>
    <t>Vehículos eléctricos puros con batería de litio o superior densidad de energía gravimétrica categorías M y N de MERCOSUR/GMC/RES. N° 60/19</t>
  </si>
  <si>
    <t>Otros vehículos livianos eléctricos puros de 2, 3 o 4 ruedas con batería de litio o superior densidad de energía gravimétrica</t>
  </si>
  <si>
    <t>Vehículos híbridos</t>
  </si>
  <si>
    <t>Materiales</t>
  </si>
  <si>
    <t>Mano de Obra</t>
  </si>
  <si>
    <t>Tabla 6-16 Peters,  Timmerhaus; 5° Ed</t>
  </si>
  <si>
    <t>(lubricantes, reactivos de laboratorio, etc)</t>
  </si>
  <si>
    <t>10% - 20% de los costos de mantenimiento y reparaciones</t>
  </si>
  <si>
    <t>0,5% - 1,0% de la Inversión en Capital Fijo</t>
  </si>
  <si>
    <t>10% - 20% de la mano de obra operativa</t>
  </si>
  <si>
    <t xml:space="preserve">Horas de mano de obra involucrada en tareas de laboratorio al valor hora adecuado </t>
  </si>
  <si>
    <t xml:space="preserve">5% - 15% </t>
  </si>
  <si>
    <t>del Costo Total del Producto</t>
  </si>
  <si>
    <t>Otros Costos (Overhead) (US$)</t>
  </si>
  <si>
    <t>Patentes o regalías</t>
  </si>
  <si>
    <t xml:space="preserve">0% - 6% </t>
  </si>
  <si>
    <t>I) Costos de producción = costos directos + costos fijos + overhead de la planta</t>
  </si>
  <si>
    <t>A) Costos Directos de Producción</t>
  </si>
  <si>
    <t>B) Costos Fijos</t>
  </si>
  <si>
    <t>C) Overhead</t>
  </si>
  <si>
    <t>II) Costos Generales = costos administrativos + distribución y costos de venta + I+D</t>
  </si>
  <si>
    <t>Tasas municipales</t>
  </si>
  <si>
    <t>Planta de Fluidos / Nueva Planta en un nuevo Sitio</t>
  </si>
  <si>
    <t xml:space="preserve">     Compra de equipos (FOB)</t>
  </si>
  <si>
    <t xml:space="preserve">     Transporte e importación</t>
  </si>
  <si>
    <t xml:space="preserve">     Instalación, incluyendo aislación y pintura</t>
  </si>
  <si>
    <t xml:space="preserve">     Instrumentación y controles, instalados</t>
  </si>
  <si>
    <t xml:space="preserve">     Cañerías, instaladas</t>
  </si>
  <si>
    <t xml:space="preserve">     Instalaciones Eléctricas</t>
  </si>
  <si>
    <t>ANÁLISIS ECONÓMICO - ESTADOS DE RESULTADOS</t>
  </si>
  <si>
    <t>Ventas Netas</t>
  </si>
  <si>
    <t>Costo de Ventas</t>
  </si>
  <si>
    <t>UTILIDAD BRUTA</t>
  </si>
  <si>
    <t>Gastos de Administración y Ventas</t>
  </si>
  <si>
    <t>Depreciación</t>
  </si>
  <si>
    <t>UTILIDAD OPERATIVA</t>
  </si>
  <si>
    <t>Gastos Financieros</t>
  </si>
  <si>
    <t>UTILIDAD ANTES DE IMPUESTOS</t>
  </si>
  <si>
    <t>UTILIDAD NETA</t>
  </si>
  <si>
    <t>Utilidad Neta Antes Impuestos</t>
  </si>
  <si>
    <t>Matches</t>
  </si>
  <si>
    <t>Costo EXW / Costo Instalado</t>
  </si>
  <si>
    <t>Inventario de envases e insumos</t>
  </si>
  <si>
    <t>Contratista y Ejecución de la instalación (incl seguros)</t>
  </si>
  <si>
    <t>Combustible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</si>
</sst>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_(* #,##0_);_(* \(#,##0\);_(* &quot;-&quot;??_);_(@_)"/>
    <numFmt numFmtId="166" formatCode="0.0"/>
    <numFmt numFmtId="167" formatCode="0.000%"/>
    <numFmt numFmtId="168" formatCode="0.0%"/>
    <numFmt numFmtId="169" formatCode="#,##0.0000"/>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0"/>
      <color rgb="FF000000"/>
      <name val="Arial"/>
      <family val="2"/>
    </font>
    <font>
      <sz val="10"/>
      <color rgb="FF000000"/>
      <name val="Arial"/>
      <family val="2"/>
    </font>
    <font>
      <sz val="11"/>
      <name val="Calibri"/>
      <family val="2"/>
      <scheme val="minor"/>
    </font>
    <font>
      <sz val="11"/>
      <color theme="0"/>
      <name val="Calibri"/>
      <family val="2"/>
      <scheme val="minor"/>
    </font>
    <font>
      <sz val="8"/>
      <name val="Calibri"/>
      <family val="2"/>
      <scheme val="minor"/>
    </font>
    <font>
      <b/>
      <sz val="11"/>
      <color theme="1"/>
      <name val="Symbol"/>
      <family val="1"/>
      <charset val="2"/>
    </font>
    <font>
      <b/>
      <sz val="11"/>
      <color theme="0"/>
      <name val="Calibri"/>
      <family val="2"/>
      <scheme val="minor"/>
    </font>
    <font>
      <sz val="11"/>
      <color theme="4" tint="-0.499984740745262"/>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1"/>
      <color rgb="FFFF0000"/>
      <name val="Calibri"/>
      <family val="2"/>
      <scheme val="minor"/>
    </font>
  </fonts>
  <fills count="9">
    <fill>
      <patternFill patternType="none"/>
    </fill>
    <fill>
      <patternFill patternType="gray125"/>
    </fill>
    <fill>
      <patternFill patternType="solid">
        <fgColor theme="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4" tint="0.59999389629810485"/>
        <bgColor indexed="65"/>
      </patternFill>
    </fill>
    <fill>
      <patternFill patternType="solid">
        <fgColor theme="8"/>
      </patternFill>
    </fill>
    <fill>
      <patternFill patternType="solid">
        <fgColor rgb="FFFFFF93"/>
        <bgColor indexed="64"/>
      </patternFill>
    </fill>
  </fills>
  <borders count="44">
    <border>
      <left/>
      <right/>
      <top/>
      <bottom/>
      <diagonal/>
    </border>
    <border>
      <left style="medium">
        <color auto="1"/>
      </left>
      <right/>
      <top/>
      <bottom/>
      <diagonal/>
    </border>
    <border>
      <left style="medium">
        <color auto="1"/>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right/>
      <top/>
      <bottom style="medium">
        <color auto="1"/>
      </bottom>
      <diagonal/>
    </border>
    <border>
      <left style="medium">
        <color auto="1"/>
      </left>
      <right/>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medium">
        <color auto="1"/>
      </right>
      <top/>
      <bottom style="medium">
        <color indexed="64"/>
      </bottom>
      <diagonal/>
    </border>
    <border>
      <left/>
      <right style="medium">
        <color indexed="64"/>
      </right>
      <top/>
      <bottom/>
      <diagonal/>
    </border>
    <border>
      <left/>
      <right style="medium">
        <color auto="1"/>
      </right>
      <top style="medium">
        <color auto="1"/>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s>
  <cellStyleXfs count="10">
    <xf numFmtId="0" fontId="0" fillId="0" borderId="0"/>
    <xf numFmtId="164" fontId="1" fillId="0" borderId="0" applyFont="0" applyFill="0" applyBorder="0" applyAlignment="0" applyProtection="0"/>
    <xf numFmtId="0" fontId="4"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9" fontId="1" fillId="0" borderId="0" applyFont="0" applyFill="0" applyBorder="0" applyAlignment="0" applyProtection="0"/>
    <xf numFmtId="0" fontId="6" fillId="2" borderId="0" applyNumberFormat="0" applyBorder="0" applyAlignment="0" applyProtection="0"/>
    <xf numFmtId="0" fontId="1" fillId="6" borderId="0" applyNumberFormat="0" applyBorder="0" applyAlignment="0" applyProtection="0"/>
    <xf numFmtId="0" fontId="6" fillId="7" borderId="0" applyNumberFormat="0" applyBorder="0" applyAlignment="0" applyProtection="0"/>
  </cellStyleXfs>
  <cellXfs count="536">
    <xf numFmtId="0" fontId="0" fillId="0" borderId="0" xfId="0"/>
    <xf numFmtId="0" fontId="0" fillId="0" borderId="0" xfId="0" applyAlignment="1">
      <alignment horizontal="center"/>
    </xf>
    <xf numFmtId="1" fontId="0" fillId="0" borderId="0" xfId="0" applyNumberFormat="1"/>
    <xf numFmtId="0" fontId="2" fillId="0" borderId="0" xfId="0" applyFont="1" applyAlignment="1">
      <alignment horizontal="center"/>
    </xf>
    <xf numFmtId="0" fontId="2" fillId="0" borderId="0" xfId="0" applyFont="1"/>
    <xf numFmtId="3" fontId="0" fillId="0" borderId="0" xfId="0" applyNumberFormat="1"/>
    <xf numFmtId="0" fontId="2" fillId="0" borderId="0" xfId="0" applyFont="1" applyAlignment="1">
      <alignment horizontal="center" vertical="center" wrapText="1"/>
    </xf>
    <xf numFmtId="3" fontId="2" fillId="0" borderId="0" xfId="0" applyNumberFormat="1" applyFont="1"/>
    <xf numFmtId="0" fontId="0" fillId="0" borderId="3" xfId="0" applyBorder="1"/>
    <xf numFmtId="0" fontId="0" fillId="0" borderId="4" xfId="0" applyBorder="1"/>
    <xf numFmtId="3" fontId="0" fillId="0" borderId="5" xfId="0" applyNumberFormat="1" applyBorder="1" applyAlignment="1">
      <alignment horizontal="center"/>
    </xf>
    <xf numFmtId="9" fontId="0" fillId="0" borderId="0" xfId="0" applyNumberFormat="1"/>
    <xf numFmtId="3" fontId="0" fillId="0" borderId="1" xfId="0" applyNumberFormat="1" applyBorder="1" applyAlignment="1">
      <alignment horizontal="right"/>
    </xf>
    <xf numFmtId="0" fontId="2" fillId="0" borderId="4" xfId="0" applyFont="1" applyBorder="1"/>
    <xf numFmtId="0" fontId="2" fillId="0" borderId="5" xfId="0" applyFont="1" applyBorder="1"/>
    <xf numFmtId="3" fontId="0" fillId="0" borderId="0" xfId="0" applyNumberFormat="1" applyAlignment="1">
      <alignment horizontal="right"/>
    </xf>
    <xf numFmtId="3" fontId="2" fillId="0" borderId="3" xfId="0" applyNumberFormat="1" applyFont="1" applyBorder="1" applyAlignment="1">
      <alignment horizontal="right"/>
    </xf>
    <xf numFmtId="0" fontId="0" fillId="0" borderId="4" xfId="0" applyBorder="1" applyAlignment="1">
      <alignment horizontal="right" vertical="center"/>
    </xf>
    <xf numFmtId="0" fontId="0" fillId="0" borderId="3" xfId="0" applyBorder="1" applyAlignment="1">
      <alignment horizontal="right" vertical="center"/>
    </xf>
    <xf numFmtId="3" fontId="0" fillId="0" borderId="5" xfId="0" applyNumberFormat="1" applyBorder="1" applyAlignment="1">
      <alignment horizontal="right" vertical="center"/>
    </xf>
    <xf numFmtId="3" fontId="0" fillId="0" borderId="1" xfId="0" applyNumberFormat="1" applyBorder="1" applyAlignment="1">
      <alignment horizontal="right" vertical="center"/>
    </xf>
    <xf numFmtId="0" fontId="0" fillId="0" borderId="0" xfId="0" applyAlignment="1">
      <alignment horizontal="right" vertical="center"/>
    </xf>
    <xf numFmtId="0" fontId="0" fillId="0" borderId="7" xfId="0" applyBorder="1" applyAlignment="1">
      <alignment horizontal="right" vertical="center"/>
    </xf>
    <xf numFmtId="3" fontId="0" fillId="0" borderId="6" xfId="0" applyNumberFormat="1" applyBorder="1" applyAlignment="1">
      <alignment horizontal="right" vertical="center"/>
    </xf>
    <xf numFmtId="0" fontId="0" fillId="0" borderId="6" xfId="0" applyBorder="1" applyAlignment="1">
      <alignment horizontal="right" vertical="center"/>
    </xf>
    <xf numFmtId="0" fontId="0" fillId="0" borderId="1" xfId="0" applyBorder="1" applyAlignment="1">
      <alignment horizontal="right" vertical="center"/>
    </xf>
    <xf numFmtId="3" fontId="0" fillId="0" borderId="0" xfId="0" applyNumberFormat="1" applyAlignment="1">
      <alignment horizontal="right" vertical="center"/>
    </xf>
    <xf numFmtId="0" fontId="0" fillId="0" borderId="10" xfId="0" applyBorder="1" applyAlignment="1">
      <alignment horizontal="right" vertical="center"/>
    </xf>
    <xf numFmtId="3" fontId="0" fillId="0" borderId="9" xfId="0" applyNumberFormat="1" applyBorder="1" applyAlignment="1">
      <alignment horizontal="right" vertical="center"/>
    </xf>
    <xf numFmtId="0" fontId="0" fillId="0" borderId="9" xfId="0" applyBorder="1" applyAlignment="1">
      <alignment horizontal="right" vertical="center"/>
    </xf>
    <xf numFmtId="3" fontId="0" fillId="0" borderId="3" xfId="0" applyNumberFormat="1" applyBorder="1" applyAlignment="1">
      <alignment horizontal="right" vertical="center"/>
    </xf>
    <xf numFmtId="3" fontId="2" fillId="0" borderId="3" xfId="0" applyNumberFormat="1" applyFont="1" applyBorder="1" applyAlignment="1">
      <alignment horizontal="right" vertical="center"/>
    </xf>
    <xf numFmtId="0" fontId="2" fillId="0" borderId="7" xfId="0" applyFont="1" applyBorder="1" applyAlignment="1">
      <alignment horizontal="center" vertical="center" wrapText="1"/>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0" fontId="0" fillId="0" borderId="1" xfId="0" applyBorder="1"/>
    <xf numFmtId="0" fontId="0" fillId="0" borderId="7" xfId="0" applyBorder="1"/>
    <xf numFmtId="0" fontId="0" fillId="0" borderId="2" xfId="0" applyBorder="1"/>
    <xf numFmtId="0" fontId="0" fillId="0" borderId="10" xfId="0" applyBorder="1"/>
    <xf numFmtId="0" fontId="2" fillId="0" borderId="15" xfId="0" applyFont="1" applyBorder="1" applyAlignment="1">
      <alignment horizontal="center" vertical="center" wrapText="1"/>
    </xf>
    <xf numFmtId="3" fontId="2" fillId="0" borderId="4" xfId="0" applyNumberFormat="1" applyFont="1" applyBorder="1" applyAlignment="1">
      <alignment horizontal="right"/>
    </xf>
    <xf numFmtId="3" fontId="2" fillId="0" borderId="5" xfId="0" applyNumberFormat="1" applyFont="1" applyBorder="1" applyAlignment="1">
      <alignment horizontal="right"/>
    </xf>
    <xf numFmtId="3" fontId="2" fillId="0" borderId="12" xfId="0" applyNumberFormat="1" applyFont="1" applyBorder="1" applyAlignment="1">
      <alignment horizontal="right"/>
    </xf>
    <xf numFmtId="3" fontId="2" fillId="0" borderId="12" xfId="0" applyNumberFormat="1" applyFont="1" applyBorder="1" applyAlignment="1">
      <alignment horizontal="right" vertical="center"/>
    </xf>
    <xf numFmtId="3" fontId="0" fillId="0" borderId="4" xfId="0" applyNumberFormat="1" applyBorder="1" applyAlignment="1">
      <alignment horizontal="right" vertical="center"/>
    </xf>
    <xf numFmtId="0" fontId="0" fillId="0" borderId="5" xfId="0" applyBorder="1" applyAlignment="1">
      <alignment horizontal="right" vertical="center"/>
    </xf>
    <xf numFmtId="3" fontId="2" fillId="0" borderId="4" xfId="0" applyNumberFormat="1" applyFont="1" applyBorder="1" applyAlignment="1">
      <alignment horizontal="right" vertical="center"/>
    </xf>
    <xf numFmtId="3" fontId="2" fillId="0" borderId="5" xfId="0" applyNumberFormat="1" applyFont="1" applyBorder="1" applyAlignment="1">
      <alignment horizontal="right" vertical="center"/>
    </xf>
    <xf numFmtId="0" fontId="0" fillId="0" borderId="12" xfId="0" applyBorder="1"/>
    <xf numFmtId="0" fontId="0" fillId="0" borderId="8" xfId="0" applyBorder="1"/>
    <xf numFmtId="0" fontId="0" fillId="0" borderId="11" xfId="0" applyBorder="1"/>
    <xf numFmtId="0" fontId="2" fillId="0" borderId="4"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2" xfId="0" applyFont="1" applyBorder="1" applyAlignment="1">
      <alignment horizontal="center" vertical="center" wrapText="1"/>
    </xf>
    <xf numFmtId="9" fontId="0" fillId="0" borderId="0" xfId="6" applyFont="1"/>
    <xf numFmtId="10" fontId="0" fillId="0" borderId="0" xfId="6" applyNumberFormat="1" applyFont="1"/>
    <xf numFmtId="0" fontId="6" fillId="2" borderId="0" xfId="7"/>
    <xf numFmtId="0" fontId="0" fillId="3" borderId="0" xfId="0" applyFill="1"/>
    <xf numFmtId="3" fontId="0" fillId="3" borderId="0" xfId="0" applyNumberFormat="1" applyFill="1"/>
    <xf numFmtId="0" fontId="8" fillId="0" borderId="0" xfId="0" applyFont="1" applyAlignment="1">
      <alignment horizontal="center"/>
    </xf>
    <xf numFmtId="3" fontId="2" fillId="0" borderId="3" xfId="0" applyNumberFormat="1" applyFont="1" applyBorder="1"/>
    <xf numFmtId="0" fontId="0" fillId="0" borderId="9" xfId="0" applyBorder="1"/>
    <xf numFmtId="3" fontId="0" fillId="0" borderId="9" xfId="0" applyNumberFormat="1" applyBorder="1"/>
    <xf numFmtId="9" fontId="0" fillId="0" borderId="9" xfId="0" applyNumberFormat="1" applyBorder="1"/>
    <xf numFmtId="0" fontId="2" fillId="0" borderId="9" xfId="0" applyFont="1" applyBorder="1"/>
    <xf numFmtId="0" fontId="0" fillId="4" borderId="4" xfId="0" applyFill="1" applyBorder="1"/>
    <xf numFmtId="0" fontId="0" fillId="4" borderId="3" xfId="0" applyFill="1" applyBorder="1"/>
    <xf numFmtId="0" fontId="0" fillId="4" borderId="0" xfId="0" applyFill="1" applyAlignment="1">
      <alignment horizontal="center"/>
    </xf>
    <xf numFmtId="0" fontId="0" fillId="4" borderId="14" xfId="0" applyFill="1" applyBorder="1" applyAlignment="1">
      <alignment horizontal="center"/>
    </xf>
    <xf numFmtId="0" fontId="0" fillId="4" borderId="7" xfId="0" applyFill="1" applyBorder="1" applyAlignment="1">
      <alignment horizontal="center"/>
    </xf>
    <xf numFmtId="0" fontId="0" fillId="4" borderId="1" xfId="0" applyFill="1" applyBorder="1" applyAlignment="1">
      <alignment horizontal="center"/>
    </xf>
    <xf numFmtId="0" fontId="0" fillId="4" borderId="1" xfId="0" applyFill="1" applyBorder="1"/>
    <xf numFmtId="0" fontId="0" fillId="4" borderId="10" xfId="0" applyFill="1" applyBorder="1" applyAlignment="1">
      <alignment horizontal="center"/>
    </xf>
    <xf numFmtId="0" fontId="0" fillId="4" borderId="6" xfId="0" applyFill="1" applyBorder="1" applyAlignment="1">
      <alignment horizontal="center"/>
    </xf>
    <xf numFmtId="0" fontId="0" fillId="4" borderId="15" xfId="0" applyFill="1" applyBorder="1" applyAlignment="1">
      <alignment horizontal="center"/>
    </xf>
    <xf numFmtId="0" fontId="0" fillId="4" borderId="9" xfId="0" applyFill="1" applyBorder="1" applyAlignment="1">
      <alignment horizontal="center"/>
    </xf>
    <xf numFmtId="0" fontId="0" fillId="4" borderId="13" xfId="0" applyFill="1" applyBorder="1" applyAlignment="1">
      <alignment horizontal="center"/>
    </xf>
    <xf numFmtId="3" fontId="0" fillId="4" borderId="4" xfId="0" applyNumberFormat="1" applyFill="1" applyBorder="1" applyAlignment="1">
      <alignment horizontal="center"/>
    </xf>
    <xf numFmtId="3" fontId="0" fillId="4" borderId="3" xfId="0" applyNumberFormat="1" applyFill="1" applyBorder="1" applyAlignment="1">
      <alignment horizontal="center"/>
    </xf>
    <xf numFmtId="0" fontId="0" fillId="4" borderId="5" xfId="0" applyFill="1" applyBorder="1" applyAlignment="1">
      <alignment horizontal="center"/>
    </xf>
    <xf numFmtId="0" fontId="6" fillId="2" borderId="0" xfId="7" applyAlignment="1"/>
    <xf numFmtId="0" fontId="9" fillId="2" borderId="0" xfId="7" applyFont="1"/>
    <xf numFmtId="0" fontId="2" fillId="0" borderId="0" xfId="0" applyFont="1" applyAlignment="1">
      <alignment horizontal="center" vertical="center"/>
    </xf>
    <xf numFmtId="165" fontId="5" fillId="0" borderId="0" xfId="1" applyNumberFormat="1" applyFont="1" applyBorder="1" applyAlignment="1">
      <alignment horizontal="center"/>
    </xf>
    <xf numFmtId="9" fontId="0" fillId="0" borderId="0" xfId="0" applyNumberFormat="1" applyAlignment="1">
      <alignment horizontal="left"/>
    </xf>
    <xf numFmtId="0" fontId="0" fillId="0" borderId="0" xfId="0" applyAlignment="1">
      <alignment horizontal="right"/>
    </xf>
    <xf numFmtId="4" fontId="2" fillId="0" borderId="0" xfId="0" applyNumberFormat="1" applyFont="1"/>
    <xf numFmtId="3" fontId="2" fillId="0" borderId="0" xfId="0" applyNumberFormat="1" applyFont="1" applyAlignment="1">
      <alignment horizontal="center"/>
    </xf>
    <xf numFmtId="0" fontId="0" fillId="0" borderId="14" xfId="0" applyBorder="1"/>
    <xf numFmtId="4" fontId="0" fillId="0" borderId="0" xfId="0" applyNumberFormat="1"/>
    <xf numFmtId="3" fontId="0" fillId="0" borderId="3" xfId="0" applyNumberFormat="1" applyBorder="1" applyAlignment="1">
      <alignment horizontal="right"/>
    </xf>
    <xf numFmtId="0" fontId="0" fillId="0" borderId="15" xfId="0" applyBorder="1" applyAlignment="1">
      <alignment horizontal="right" vertical="center"/>
    </xf>
    <xf numFmtId="0" fontId="0" fillId="0" borderId="14" xfId="0" applyBorder="1" applyAlignment="1">
      <alignment horizontal="right" vertical="center"/>
    </xf>
    <xf numFmtId="0" fontId="0" fillId="0" borderId="13" xfId="0" applyBorder="1" applyAlignment="1">
      <alignment horizontal="right" vertical="center"/>
    </xf>
    <xf numFmtId="0" fontId="6" fillId="2" borderId="0" xfId="7" applyBorder="1"/>
    <xf numFmtId="0" fontId="0" fillId="5" borderId="0" xfId="0" applyFill="1"/>
    <xf numFmtId="0" fontId="2" fillId="5" borderId="0" xfId="0" applyFont="1" applyFill="1"/>
    <xf numFmtId="0" fontId="2" fillId="5" borderId="0" xfId="0" applyFont="1" applyFill="1" applyAlignment="1">
      <alignment horizontal="center" vertical="center" wrapText="1"/>
    </xf>
    <xf numFmtId="0" fontId="2" fillId="5" borderId="9" xfId="0" applyFont="1" applyFill="1" applyBorder="1"/>
    <xf numFmtId="0" fontId="0" fillId="5" borderId="9" xfId="0" applyFill="1" applyBorder="1"/>
    <xf numFmtId="0" fontId="0" fillId="0" borderId="15" xfId="0" applyBorder="1"/>
    <xf numFmtId="0" fontId="2" fillId="0" borderId="5" xfId="0" applyFont="1" applyBorder="1" applyAlignment="1">
      <alignment horizontal="center" vertical="center" wrapText="1"/>
    </xf>
    <xf numFmtId="0" fontId="0" fillId="0" borderId="12" xfId="0" applyBorder="1" applyAlignment="1">
      <alignment vertical="center"/>
    </xf>
    <xf numFmtId="3" fontId="2" fillId="0" borderId="12" xfId="0" applyNumberFormat="1" applyFont="1" applyBorder="1" applyAlignment="1">
      <alignment vertical="center"/>
    </xf>
    <xf numFmtId="1" fontId="0" fillId="0" borderId="0" xfId="0" applyNumberFormat="1" applyAlignment="1">
      <alignment horizontal="right" vertical="center"/>
    </xf>
    <xf numFmtId="1" fontId="0" fillId="0" borderId="3" xfId="0" applyNumberFormat="1" applyBorder="1" applyAlignment="1">
      <alignment horizontal="right" vertical="center"/>
    </xf>
    <xf numFmtId="0" fontId="0" fillId="0" borderId="4" xfId="0" applyBorder="1" applyAlignment="1">
      <alignment horizontal="left" wrapText="1"/>
    </xf>
    <xf numFmtId="0" fontId="0" fillId="0" borderId="7" xfId="0" applyBorder="1" applyAlignment="1">
      <alignment horizontal="left" wrapText="1"/>
    </xf>
    <xf numFmtId="0" fontId="0" fillId="0" borderId="1" xfId="0" applyBorder="1" applyAlignment="1">
      <alignment horizontal="left" wrapText="1"/>
    </xf>
    <xf numFmtId="0" fontId="0" fillId="0" borderId="10" xfId="0" applyBorder="1" applyAlignment="1">
      <alignment horizontal="left" wrapText="1"/>
    </xf>
    <xf numFmtId="0" fontId="0" fillId="0" borderId="12" xfId="0" applyBorder="1" applyAlignment="1">
      <alignment wrapText="1"/>
    </xf>
    <xf numFmtId="0" fontId="0" fillId="0" borderId="8" xfId="0" applyBorder="1" applyAlignment="1">
      <alignment wrapText="1"/>
    </xf>
    <xf numFmtId="0" fontId="0" fillId="0" borderId="2" xfId="0" applyBorder="1" applyAlignment="1">
      <alignment wrapText="1"/>
    </xf>
    <xf numFmtId="0" fontId="0" fillId="0" borderId="11" xfId="0" applyBorder="1" applyAlignment="1">
      <alignment wrapText="1"/>
    </xf>
    <xf numFmtId="3" fontId="2" fillId="0" borderId="5" xfId="0" applyNumberFormat="1" applyFont="1" applyBorder="1"/>
    <xf numFmtId="0" fontId="0" fillId="0" borderId="2" xfId="0" applyBorder="1" applyAlignment="1">
      <alignment horizontal="center"/>
    </xf>
    <xf numFmtId="0" fontId="2" fillId="0" borderId="12" xfId="0" applyFont="1" applyBorder="1" applyAlignment="1">
      <alignment horizontal="center"/>
    </xf>
    <xf numFmtId="3" fontId="0" fillId="0" borderId="2" xfId="0" applyNumberFormat="1" applyBorder="1"/>
    <xf numFmtId="3" fontId="2" fillId="0" borderId="12" xfId="0" applyNumberFormat="1" applyFont="1" applyBorder="1"/>
    <xf numFmtId="3" fontId="2" fillId="0" borderId="11" xfId="0" applyNumberFormat="1" applyFont="1" applyBorder="1"/>
    <xf numFmtId="4" fontId="2" fillId="0" borderId="11" xfId="0" applyNumberFormat="1" applyFont="1" applyBorder="1"/>
    <xf numFmtId="2" fontId="0" fillId="0" borderId="8" xfId="0" applyNumberFormat="1" applyBorder="1"/>
    <xf numFmtId="2" fontId="0" fillId="0" borderId="2" xfId="0" applyNumberFormat="1" applyBorder="1"/>
    <xf numFmtId="2" fontId="0" fillId="0" borderId="11" xfId="0" applyNumberFormat="1" applyBorder="1"/>
    <xf numFmtId="3" fontId="0" fillId="0" borderId="8" xfId="0" applyNumberFormat="1" applyBorder="1"/>
    <xf numFmtId="3" fontId="0" fillId="0" borderId="11" xfId="0" applyNumberFormat="1" applyBorder="1"/>
    <xf numFmtId="4" fontId="0" fillId="0" borderId="11" xfId="0" applyNumberFormat="1" applyBorder="1"/>
    <xf numFmtId="3" fontId="0" fillId="0" borderId="14" xfId="0" applyNumberFormat="1" applyBorder="1"/>
    <xf numFmtId="3" fontId="2" fillId="0" borderId="4" xfId="0" applyNumberFormat="1" applyFont="1" applyBorder="1"/>
    <xf numFmtId="0" fontId="2" fillId="0" borderId="7" xfId="0" applyFont="1" applyBorder="1"/>
    <xf numFmtId="3" fontId="0" fillId="0" borderId="13" xfId="0" applyNumberFormat="1" applyBorder="1"/>
    <xf numFmtId="0" fontId="2" fillId="0" borderId="8" xfId="0" applyFont="1" applyBorder="1" applyAlignment="1">
      <alignment horizontal="center"/>
    </xf>
    <xf numFmtId="0" fontId="2" fillId="0" borderId="7" xfId="0" applyFont="1" applyBorder="1" applyAlignment="1">
      <alignment horizontal="center"/>
    </xf>
    <xf numFmtId="0" fontId="2" fillId="0" borderId="15" xfId="0" applyFont="1" applyBorder="1" applyAlignment="1">
      <alignment horizontal="center"/>
    </xf>
    <xf numFmtId="3" fontId="0" fillId="0" borderId="1" xfId="0" applyNumberFormat="1" applyBorder="1"/>
    <xf numFmtId="3" fontId="0" fillId="0" borderId="10" xfId="0" applyNumberFormat="1" applyBorder="1"/>
    <xf numFmtId="3" fontId="2" fillId="0" borderId="16" xfId="0" applyNumberFormat="1" applyFont="1" applyBorder="1"/>
    <xf numFmtId="10" fontId="2" fillId="0" borderId="16" xfId="6" applyNumberFormat="1" applyFont="1" applyBorder="1"/>
    <xf numFmtId="4" fontId="2" fillId="0" borderId="16" xfId="0" applyNumberFormat="1" applyFont="1" applyBorder="1"/>
    <xf numFmtId="3" fontId="2" fillId="0" borderId="17" xfId="0" applyNumberFormat="1" applyFont="1" applyBorder="1"/>
    <xf numFmtId="3" fontId="2" fillId="0" borderId="18" xfId="0" applyNumberFormat="1" applyFont="1" applyBorder="1"/>
    <xf numFmtId="3" fontId="2" fillId="0" borderId="19" xfId="0" applyNumberFormat="1" applyFont="1" applyBorder="1"/>
    <xf numFmtId="3" fontId="2" fillId="0" borderId="20" xfId="0" applyNumberFormat="1" applyFont="1" applyBorder="1"/>
    <xf numFmtId="3" fontId="2" fillId="0" borderId="21" xfId="0" applyNumberFormat="1" applyFont="1" applyBorder="1"/>
    <xf numFmtId="3" fontId="2" fillId="0" borderId="22" xfId="0" applyNumberFormat="1" applyFont="1" applyBorder="1"/>
    <xf numFmtId="4" fontId="2" fillId="0" borderId="23" xfId="0" applyNumberFormat="1" applyFont="1" applyBorder="1"/>
    <xf numFmtId="3" fontId="2" fillId="0" borderId="24" xfId="0" applyNumberFormat="1" applyFont="1" applyBorder="1"/>
    <xf numFmtId="0" fontId="2" fillId="0" borderId="5" xfId="0" applyFont="1" applyBorder="1" applyAlignment="1">
      <alignment horizontal="center"/>
    </xf>
    <xf numFmtId="10" fontId="0" fillId="0" borderId="0" xfId="6" applyNumberFormat="1" applyFont="1" applyBorder="1"/>
    <xf numFmtId="0" fontId="0" fillId="8" borderId="0" xfId="0" applyFill="1"/>
    <xf numFmtId="0" fontId="2" fillId="0" borderId="6" xfId="0" applyFont="1" applyBorder="1" applyAlignment="1">
      <alignment horizontal="center"/>
    </xf>
    <xf numFmtId="165" fontId="0" fillId="0" borderId="14" xfId="1" applyNumberFormat="1" applyFont="1" applyBorder="1"/>
    <xf numFmtId="1" fontId="0" fillId="0" borderId="9" xfId="0" applyNumberFormat="1" applyBorder="1"/>
    <xf numFmtId="165" fontId="0" fillId="0" borderId="13" xfId="1" applyNumberFormat="1" applyFont="1" applyBorder="1"/>
    <xf numFmtId="165" fontId="2" fillId="0" borderId="2" xfId="0" applyNumberFormat="1" applyFont="1" applyBorder="1"/>
    <xf numFmtId="165" fontId="2" fillId="0" borderId="11" xfId="0" applyNumberFormat="1" applyFont="1" applyBorder="1"/>
    <xf numFmtId="165" fontId="2" fillId="0" borderId="12" xfId="0" applyNumberFormat="1" applyFont="1" applyBorder="1"/>
    <xf numFmtId="0" fontId="2" fillId="0" borderId="4" xfId="0" applyFont="1" applyBorder="1" applyAlignment="1">
      <alignment horizontal="center"/>
    </xf>
    <xf numFmtId="0" fontId="2" fillId="0" borderId="3" xfId="0" applyFont="1" applyBorder="1" applyAlignment="1">
      <alignment horizontal="center"/>
    </xf>
    <xf numFmtId="0" fontId="0" fillId="8" borderId="0" xfId="0" applyFill="1" applyAlignment="1">
      <alignment horizontal="center"/>
    </xf>
    <xf numFmtId="3" fontId="0" fillId="8" borderId="0" xfId="0" applyNumberFormat="1" applyFill="1"/>
    <xf numFmtId="3" fontId="2" fillId="3" borderId="4" xfId="0" applyNumberFormat="1" applyFont="1" applyFill="1" applyBorder="1" applyAlignment="1">
      <alignment horizontal="center"/>
    </xf>
    <xf numFmtId="9" fontId="0" fillId="8" borderId="0" xfId="0" applyNumberFormat="1" applyFill="1" applyAlignment="1">
      <alignment horizontal="center"/>
    </xf>
    <xf numFmtId="9" fontId="0" fillId="8" borderId="0" xfId="0" applyNumberFormat="1" applyFill="1"/>
    <xf numFmtId="9" fontId="5" fillId="0" borderId="0" xfId="6" applyFont="1" applyFill="1" applyAlignment="1">
      <alignment vertical="center"/>
    </xf>
    <xf numFmtId="0" fontId="0" fillId="0" borderId="16" xfId="0" applyBorder="1"/>
    <xf numFmtId="0" fontId="0" fillId="0" borderId="20" xfId="0" applyBorder="1"/>
    <xf numFmtId="0" fontId="0" fillId="0" borderId="22" xfId="0" applyBorder="1"/>
    <xf numFmtId="0" fontId="2" fillId="0" borderId="25" xfId="0" applyFont="1" applyBorder="1"/>
    <xf numFmtId="0" fontId="2" fillId="0" borderId="12" xfId="0" applyFont="1" applyBorder="1" applyAlignment="1">
      <alignment horizontal="center" vertical="center"/>
    </xf>
    <xf numFmtId="0" fontId="0" fillId="0" borderId="7" xfId="0" applyBorder="1" applyAlignment="1">
      <alignment horizontal="center"/>
    </xf>
    <xf numFmtId="3" fontId="0" fillId="0" borderId="6" xfId="0" applyNumberFormat="1" applyBorder="1"/>
    <xf numFmtId="3" fontId="0" fillId="0" borderId="15" xfId="0" applyNumberFormat="1" applyBorder="1"/>
    <xf numFmtId="0" fontId="0" fillId="0" borderId="1" xfId="0" applyBorder="1" applyAlignment="1">
      <alignment horizontal="center"/>
    </xf>
    <xf numFmtId="0" fontId="0" fillId="0" borderId="10" xfId="0" applyBorder="1" applyAlignment="1">
      <alignment horizontal="center"/>
    </xf>
    <xf numFmtId="166" fontId="0" fillId="0" borderId="14" xfId="0" applyNumberFormat="1" applyBorder="1"/>
    <xf numFmtId="166" fontId="0" fillId="0" borderId="13" xfId="0" applyNumberFormat="1" applyBorder="1"/>
    <xf numFmtId="3" fontId="0" fillId="0" borderId="16" xfId="0" applyNumberFormat="1" applyBorder="1"/>
    <xf numFmtId="0" fontId="2" fillId="0" borderId="17" xfId="0" applyFont="1" applyBorder="1"/>
    <xf numFmtId="0" fontId="0" fillId="0" borderId="18" xfId="0" applyBorder="1"/>
    <xf numFmtId="3" fontId="0" fillId="0" borderId="21" xfId="0" applyNumberFormat="1" applyBorder="1"/>
    <xf numFmtId="0" fontId="0" fillId="0" borderId="21" xfId="0" applyBorder="1"/>
    <xf numFmtId="0" fontId="0" fillId="0" borderId="23" xfId="0" applyBorder="1"/>
    <xf numFmtId="0" fontId="0" fillId="0" borderId="24" xfId="0" applyBorder="1"/>
    <xf numFmtId="0" fontId="0" fillId="0" borderId="27" xfId="0" applyBorder="1"/>
    <xf numFmtId="3" fontId="0" fillId="0" borderId="26" xfId="0" applyNumberFormat="1" applyBorder="1"/>
    <xf numFmtId="3" fontId="0" fillId="0" borderId="28" xfId="0" applyNumberFormat="1" applyBorder="1"/>
    <xf numFmtId="3" fontId="2" fillId="0" borderId="26" xfId="0" applyNumberFormat="1" applyFont="1" applyBorder="1"/>
    <xf numFmtId="3" fontId="0" fillId="0" borderId="19" xfId="0" applyNumberFormat="1" applyBorder="1"/>
    <xf numFmtId="0" fontId="2" fillId="0" borderId="32" xfId="0" applyFont="1" applyBorder="1"/>
    <xf numFmtId="0" fontId="0" fillId="0" borderId="33" xfId="0" applyBorder="1"/>
    <xf numFmtId="3" fontId="2" fillId="0" borderId="34" xfId="0" applyNumberFormat="1" applyFont="1" applyBorder="1"/>
    <xf numFmtId="9" fontId="0" fillId="0" borderId="0" xfId="0" applyNumberFormat="1" applyAlignment="1">
      <alignment horizontal="right"/>
    </xf>
    <xf numFmtId="9" fontId="0" fillId="0" borderId="0" xfId="6" applyFont="1" applyFill="1" applyAlignment="1">
      <alignment horizontal="right" vertical="center"/>
    </xf>
    <xf numFmtId="0" fontId="2" fillId="0" borderId="27" xfId="0" applyFont="1" applyBorder="1" applyAlignment="1">
      <alignment horizontal="center" vertical="center" wrapText="1"/>
    </xf>
    <xf numFmtId="3" fontId="0" fillId="0" borderId="18" xfId="0" applyNumberFormat="1" applyBorder="1"/>
    <xf numFmtId="3" fontId="0" fillId="0" borderId="23" xfId="0" applyNumberFormat="1" applyBorder="1"/>
    <xf numFmtId="3" fontId="2" fillId="0" borderId="27" xfId="0" applyNumberFormat="1" applyFont="1" applyBorder="1"/>
    <xf numFmtId="0" fontId="2" fillId="0" borderId="31" xfId="0" applyFont="1" applyBorder="1" applyAlignment="1">
      <alignment horizontal="center" vertical="center" wrapText="1"/>
    </xf>
    <xf numFmtId="3" fontId="0" fillId="0" borderId="30" xfId="0" applyNumberFormat="1" applyBorder="1"/>
    <xf numFmtId="3" fontId="0" fillId="0" borderId="35" xfId="0" applyNumberFormat="1" applyBorder="1"/>
    <xf numFmtId="3" fontId="0" fillId="0" borderId="36" xfId="0" applyNumberFormat="1" applyBorder="1"/>
    <xf numFmtId="3" fontId="2" fillId="0" borderId="31" xfId="0" applyNumberFormat="1" applyFont="1" applyBorder="1"/>
    <xf numFmtId="0" fontId="0" fillId="0" borderId="37"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2" fillId="0" borderId="40" xfId="0" applyFont="1" applyBorder="1" applyAlignment="1">
      <alignment horizontal="center" vertical="center" wrapText="1"/>
    </xf>
    <xf numFmtId="0" fontId="0" fillId="0" borderId="41" xfId="0" applyBorder="1"/>
    <xf numFmtId="3" fontId="0" fillId="0" borderId="42" xfId="0" applyNumberFormat="1" applyBorder="1"/>
    <xf numFmtId="3" fontId="0" fillId="0" borderId="43" xfId="0" applyNumberFormat="1" applyBorder="1"/>
    <xf numFmtId="3" fontId="2" fillId="0" borderId="40" xfId="0" applyNumberFormat="1" applyFont="1" applyBorder="1"/>
    <xf numFmtId="3" fontId="2" fillId="0" borderId="37" xfId="0" applyNumberFormat="1" applyFont="1" applyBorder="1"/>
    <xf numFmtId="3" fontId="2" fillId="0" borderId="38" xfId="0" applyNumberFormat="1" applyFont="1" applyBorder="1"/>
    <xf numFmtId="3" fontId="2" fillId="0" borderId="39" xfId="0" applyNumberFormat="1" applyFont="1" applyBorder="1"/>
    <xf numFmtId="3" fontId="0" fillId="8" borderId="0" xfId="0" applyNumberFormat="1" applyFill="1" applyAlignment="1">
      <alignment horizontal="right"/>
    </xf>
    <xf numFmtId="2" fontId="0" fillId="0" borderId="14" xfId="0" applyNumberFormat="1" applyBorder="1"/>
    <xf numFmtId="2" fontId="0" fillId="0" borderId="13" xfId="0" applyNumberFormat="1" applyBorder="1"/>
    <xf numFmtId="0" fontId="2" fillId="0" borderId="3" xfId="0" applyFont="1" applyBorder="1"/>
    <xf numFmtId="2" fontId="2" fillId="0" borderId="5" xfId="0" applyNumberFormat="1" applyFont="1" applyBorder="1"/>
    <xf numFmtId="3" fontId="2" fillId="0" borderId="6" xfId="0" applyNumberFormat="1" applyFont="1" applyBorder="1"/>
    <xf numFmtId="0" fontId="2" fillId="0" borderId="15" xfId="0" applyFont="1" applyBorder="1"/>
    <xf numFmtId="10" fontId="2" fillId="0" borderId="0" xfId="0" applyNumberFormat="1" applyFont="1"/>
    <xf numFmtId="10" fontId="2" fillId="0" borderId="14" xfId="0" applyNumberFormat="1" applyFont="1" applyBorder="1"/>
    <xf numFmtId="0" fontId="2" fillId="0" borderId="14" xfId="0" applyFont="1" applyBorder="1"/>
    <xf numFmtId="0" fontId="2" fillId="0" borderId="0" xfId="0" applyFont="1" applyAlignment="1">
      <alignment horizontal="right"/>
    </xf>
    <xf numFmtId="0" fontId="2" fillId="0" borderId="9" xfId="0" applyFont="1" applyBorder="1" applyAlignment="1">
      <alignment horizontal="right"/>
    </xf>
    <xf numFmtId="4" fontId="2" fillId="0" borderId="9" xfId="0" applyNumberFormat="1" applyFont="1" applyBorder="1"/>
    <xf numFmtId="0" fontId="0" fillId="0" borderId="13" xfId="0" applyBorder="1"/>
    <xf numFmtId="4" fontId="2" fillId="0" borderId="3" xfId="0" applyNumberFormat="1" applyFont="1" applyBorder="1" applyAlignment="1">
      <alignment horizontal="center"/>
    </xf>
    <xf numFmtId="9" fontId="0" fillId="8" borderId="2" xfId="0" applyNumberFormat="1" applyFill="1" applyBorder="1"/>
    <xf numFmtId="9" fontId="0" fillId="8" borderId="11" xfId="0" applyNumberFormat="1" applyFill="1" applyBorder="1"/>
    <xf numFmtId="1" fontId="0" fillId="0" borderId="4" xfId="0" applyNumberFormat="1" applyBorder="1"/>
    <xf numFmtId="4" fontId="0" fillId="0" borderId="5" xfId="0" applyNumberFormat="1" applyBorder="1"/>
    <xf numFmtId="3" fontId="0" fillId="0" borderId="4" xfId="0" applyNumberFormat="1" applyBorder="1"/>
    <xf numFmtId="9" fontId="0" fillId="0" borderId="12" xfId="0" applyNumberFormat="1" applyBorder="1"/>
    <xf numFmtId="10" fontId="0" fillId="8" borderId="0" xfId="0" applyNumberFormat="1" applyFill="1"/>
    <xf numFmtId="10" fontId="0" fillId="8" borderId="0" xfId="6" applyNumberFormat="1" applyFont="1" applyFill="1"/>
    <xf numFmtId="9" fontId="0" fillId="8" borderId="0" xfId="6" applyFont="1" applyFill="1"/>
    <xf numFmtId="165" fontId="2" fillId="0" borderId="12" xfId="1" applyNumberFormat="1" applyFont="1" applyBorder="1"/>
    <xf numFmtId="0" fontId="10" fillId="8" borderId="0" xfId="0" applyFont="1" applyFill="1"/>
    <xf numFmtId="0" fontId="0" fillId="0" borderId="0" xfId="0" applyAlignment="1">
      <alignment horizontal="left"/>
    </xf>
    <xf numFmtId="1" fontId="5" fillId="8" borderId="0" xfId="0" applyNumberFormat="1" applyFont="1" applyFill="1"/>
    <xf numFmtId="0" fontId="5" fillId="8" borderId="0" xfId="0" applyFont="1" applyFill="1"/>
    <xf numFmtId="0" fontId="5" fillId="8" borderId="1" xfId="0" applyFont="1" applyFill="1" applyBorder="1"/>
    <xf numFmtId="165" fontId="5" fillId="8" borderId="1" xfId="1" applyNumberFormat="1" applyFont="1" applyFill="1" applyBorder="1"/>
    <xf numFmtId="165" fontId="5" fillId="8" borderId="10" xfId="1" applyNumberFormat="1" applyFont="1" applyFill="1" applyBorder="1"/>
    <xf numFmtId="1" fontId="5" fillId="8" borderId="1" xfId="0" applyNumberFormat="1" applyFont="1" applyFill="1" applyBorder="1"/>
    <xf numFmtId="1" fontId="5" fillId="8" borderId="10" xfId="0" applyNumberFormat="1" applyFont="1" applyFill="1" applyBorder="1"/>
    <xf numFmtId="0" fontId="5" fillId="8" borderId="10" xfId="0" applyFont="1" applyFill="1" applyBorder="1"/>
    <xf numFmtId="0" fontId="11" fillId="0" borderId="0" xfId="0" applyFont="1" applyAlignment="1">
      <alignment horizontal="center" vertical="center" wrapText="1"/>
    </xf>
    <xf numFmtId="9" fontId="5" fillId="8" borderId="0" xfId="0" applyNumberFormat="1" applyFont="1" applyFill="1" applyAlignment="1">
      <alignment horizontal="center" vertical="center" wrapText="1"/>
    </xf>
    <xf numFmtId="3" fontId="5" fillId="8" borderId="0" xfId="0" applyNumberFormat="1" applyFont="1" applyFill="1" applyAlignment="1">
      <alignment horizontal="right" vertical="center" wrapText="1"/>
    </xf>
    <xf numFmtId="0" fontId="5" fillId="8" borderId="0" xfId="0" applyFont="1" applyFill="1" applyAlignment="1">
      <alignment horizontal="right" vertical="center" wrapText="1"/>
    </xf>
    <xf numFmtId="0" fontId="5" fillId="0" borderId="0" xfId="0" applyFont="1"/>
    <xf numFmtId="0" fontId="5" fillId="8" borderId="0" xfId="0" applyFont="1" applyFill="1" applyAlignment="1">
      <alignment horizontal="center"/>
    </xf>
    <xf numFmtId="0" fontId="5" fillId="8" borderId="0" xfId="0" applyFont="1" applyFill="1" applyAlignment="1">
      <alignment horizontal="center" vertical="center"/>
    </xf>
    <xf numFmtId="3" fontId="5" fillId="8" borderId="0" xfId="0" applyNumberFormat="1" applyFont="1" applyFill="1"/>
    <xf numFmtId="3" fontId="5" fillId="0" borderId="0" xfId="0" applyNumberFormat="1" applyFont="1"/>
    <xf numFmtId="9" fontId="5" fillId="0" borderId="0" xfId="6" applyFont="1"/>
    <xf numFmtId="3" fontId="11" fillId="0" borderId="0" xfId="0" applyNumberFormat="1" applyFont="1"/>
    <xf numFmtId="9" fontId="5" fillId="8" borderId="0" xfId="0" applyNumberFormat="1" applyFont="1" applyFill="1"/>
    <xf numFmtId="0" fontId="5" fillId="0" borderId="0" xfId="0" applyFont="1" applyAlignment="1">
      <alignment horizontal="center" vertical="center" wrapText="1"/>
    </xf>
    <xf numFmtId="9" fontId="11" fillId="0" borderId="0" xfId="0" applyNumberFormat="1" applyFont="1" applyAlignment="1">
      <alignment horizontal="center" vertical="center" wrapText="1"/>
    </xf>
    <xf numFmtId="9" fontId="5" fillId="8" borderId="0" xfId="0" applyNumberFormat="1" applyFont="1" applyFill="1" applyAlignment="1">
      <alignment horizontal="center"/>
    </xf>
    <xf numFmtId="0" fontId="11" fillId="0" borderId="0" xfId="0" applyFont="1"/>
    <xf numFmtId="0" fontId="11" fillId="0" borderId="0" xfId="0" applyFont="1" applyAlignment="1">
      <alignment horizontal="center"/>
    </xf>
    <xf numFmtId="0" fontId="5" fillId="3" borderId="0" xfId="0" applyFont="1" applyFill="1"/>
    <xf numFmtId="3" fontId="5" fillId="3" borderId="0" xfId="0" applyNumberFormat="1" applyFont="1" applyFill="1"/>
    <xf numFmtId="9" fontId="5" fillId="0" borderId="0" xfId="0" applyNumberFormat="1" applyFont="1" applyAlignment="1">
      <alignment horizontal="center"/>
    </xf>
    <xf numFmtId="10" fontId="5" fillId="0" borderId="0" xfId="6" applyNumberFormat="1" applyFont="1"/>
    <xf numFmtId="0" fontId="5" fillId="0" borderId="0" xfId="0" applyFont="1" applyAlignment="1">
      <alignment horizontal="center"/>
    </xf>
    <xf numFmtId="168" fontId="5" fillId="8" borderId="0" xfId="6" applyNumberFormat="1" applyFont="1" applyFill="1"/>
    <xf numFmtId="168" fontId="5" fillId="0" borderId="0" xfId="0" applyNumberFormat="1" applyFont="1"/>
    <xf numFmtId="168" fontId="5" fillId="0" borderId="0" xfId="6" applyNumberFormat="1" applyFont="1"/>
    <xf numFmtId="168" fontId="5" fillId="8" borderId="0" xfId="0" applyNumberFormat="1" applyFont="1" applyFill="1" applyAlignment="1">
      <alignment horizontal="center"/>
    </xf>
    <xf numFmtId="9" fontId="5" fillId="0" borderId="0" xfId="6" applyFont="1" applyFill="1"/>
    <xf numFmtId="168" fontId="5" fillId="0" borderId="0" xfId="0" applyNumberFormat="1" applyFont="1" applyAlignment="1">
      <alignment horizontal="center"/>
    </xf>
    <xf numFmtId="0" fontId="5" fillId="0" borderId="0" xfId="0" applyFont="1" applyAlignment="1">
      <alignment horizontal="left"/>
    </xf>
    <xf numFmtId="0" fontId="5" fillId="0" borderId="9" xfId="0" applyFont="1" applyBorder="1"/>
    <xf numFmtId="9" fontId="5" fillId="0" borderId="9" xfId="0" applyNumberFormat="1" applyFont="1" applyBorder="1"/>
    <xf numFmtId="0" fontId="5" fillId="0" borderId="0" xfId="0" applyFont="1" applyAlignment="1">
      <alignment horizontal="left" vertical="center"/>
    </xf>
    <xf numFmtId="0" fontId="11" fillId="0" borderId="12" xfId="0" applyFont="1" applyBorder="1" applyAlignment="1">
      <alignment horizontal="center" vertical="center"/>
    </xf>
    <xf numFmtId="0" fontId="11" fillId="0" borderId="17" xfId="0" applyFont="1" applyBorder="1" applyAlignment="1">
      <alignment wrapText="1"/>
    </xf>
    <xf numFmtId="3" fontId="11" fillId="0" borderId="19" xfId="0" applyNumberFormat="1" applyFont="1" applyBorder="1" applyAlignment="1">
      <alignment horizontal="right" vertical="center"/>
    </xf>
    <xf numFmtId="0" fontId="5" fillId="0" borderId="0" xfId="0" applyFont="1" applyAlignment="1">
      <alignment vertical="center"/>
    </xf>
    <xf numFmtId="0" fontId="5" fillId="0" borderId="0" xfId="0" applyFont="1" applyAlignment="1">
      <alignment horizontal="center" vertical="center"/>
    </xf>
    <xf numFmtId="0" fontId="5" fillId="0" borderId="20" xfId="0" applyFont="1" applyBorder="1"/>
    <xf numFmtId="3" fontId="5" fillId="0" borderId="21" xfId="0" applyNumberFormat="1" applyFont="1" applyBorder="1" applyAlignment="1">
      <alignment horizontal="right" vertical="center"/>
    </xf>
    <xf numFmtId="0" fontId="5" fillId="0" borderId="22" xfId="0" applyFont="1" applyBorder="1"/>
    <xf numFmtId="3" fontId="5" fillId="0" borderId="24" xfId="0" applyNumberFormat="1" applyFont="1" applyBorder="1" applyAlignment="1">
      <alignment horizontal="right" vertical="center"/>
    </xf>
    <xf numFmtId="0" fontId="11" fillId="0" borderId="25" xfId="0" applyFont="1" applyBorder="1"/>
    <xf numFmtId="3" fontId="11" fillId="0" borderId="26" xfId="0" applyNumberFormat="1" applyFont="1" applyBorder="1" applyAlignment="1">
      <alignment horizontal="right" vertical="center"/>
    </xf>
    <xf numFmtId="3" fontId="5" fillId="0" borderId="26" xfId="0" applyNumberFormat="1" applyFont="1" applyBorder="1" applyAlignment="1">
      <alignment horizontal="right" vertical="center"/>
    </xf>
    <xf numFmtId="0" fontId="11" fillId="0" borderId="7"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2" xfId="0" applyFont="1" applyBorder="1" applyAlignment="1">
      <alignment horizontal="center" vertical="center" wrapText="1"/>
    </xf>
    <xf numFmtId="0" fontId="5" fillId="0" borderId="4" xfId="0" applyFont="1" applyBorder="1"/>
    <xf numFmtId="0" fontId="5" fillId="4" borderId="4" xfId="0" applyFont="1" applyFill="1" applyBorder="1"/>
    <xf numFmtId="0" fontId="5" fillId="4" borderId="3" xfId="0" applyFont="1" applyFill="1" applyBorder="1"/>
    <xf numFmtId="3" fontId="5" fillId="0" borderId="5" xfId="0" applyNumberFormat="1" applyFont="1" applyBorder="1" applyAlignment="1">
      <alignment horizontal="center"/>
    </xf>
    <xf numFmtId="3" fontId="11" fillId="0" borderId="12" xfId="0" applyNumberFormat="1" applyFont="1" applyBorder="1" applyAlignment="1">
      <alignment horizontal="right"/>
    </xf>
    <xf numFmtId="0" fontId="5" fillId="0" borderId="12" xfId="0" applyFont="1" applyBorder="1"/>
    <xf numFmtId="0" fontId="5" fillId="0" borderId="4" xfId="0" applyFont="1" applyBorder="1" applyAlignment="1">
      <alignment horizontal="right" vertical="center"/>
    </xf>
    <xf numFmtId="0" fontId="5" fillId="0" borderId="3" xfId="0" applyFont="1" applyBorder="1" applyAlignment="1">
      <alignment horizontal="right" vertical="center"/>
    </xf>
    <xf numFmtId="3" fontId="5" fillId="0" borderId="5" xfId="0" applyNumberFormat="1" applyFont="1" applyBorder="1" applyAlignment="1">
      <alignment horizontal="right" vertical="center"/>
    </xf>
    <xf numFmtId="3" fontId="11" fillId="0" borderId="5" xfId="0" applyNumberFormat="1" applyFont="1" applyBorder="1" applyAlignment="1">
      <alignment horizontal="right" vertical="center"/>
    </xf>
    <xf numFmtId="0" fontId="5" fillId="0" borderId="14" xfId="0" applyFont="1" applyBorder="1"/>
    <xf numFmtId="0" fontId="5" fillId="0" borderId="1" xfId="0" applyFont="1" applyBorder="1"/>
    <xf numFmtId="3" fontId="5" fillId="0" borderId="1" xfId="0" applyNumberFormat="1" applyFont="1" applyBorder="1" applyAlignment="1">
      <alignment horizontal="right"/>
    </xf>
    <xf numFmtId="0" fontId="5" fillId="4" borderId="0" xfId="0" applyFont="1" applyFill="1" applyAlignment="1">
      <alignment horizontal="center"/>
    </xf>
    <xf numFmtId="0" fontId="5" fillId="4" borderId="14" xfId="0" applyFont="1" applyFill="1" applyBorder="1" applyAlignment="1">
      <alignment horizontal="center"/>
    </xf>
    <xf numFmtId="0" fontId="5" fillId="0" borderId="2" xfId="0" applyFont="1" applyBorder="1"/>
    <xf numFmtId="3" fontId="5" fillId="0" borderId="1" xfId="0" applyNumberFormat="1" applyFont="1" applyBorder="1" applyAlignment="1">
      <alignment horizontal="right" vertical="center"/>
    </xf>
    <xf numFmtId="0" fontId="5" fillId="0" borderId="0" xfId="0" applyFont="1" applyAlignment="1">
      <alignment horizontal="right" vertical="center"/>
    </xf>
    <xf numFmtId="0" fontId="5" fillId="0" borderId="7" xfId="0" applyFont="1" applyBorder="1"/>
    <xf numFmtId="0" fontId="5" fillId="4" borderId="7" xfId="0" applyFont="1" applyFill="1" applyBorder="1" applyAlignment="1">
      <alignment horizontal="center"/>
    </xf>
    <xf numFmtId="3" fontId="5" fillId="0" borderId="6" xfId="0" applyNumberFormat="1" applyFont="1" applyBorder="1" applyAlignment="1">
      <alignment horizontal="right"/>
    </xf>
    <xf numFmtId="0" fontId="5" fillId="4" borderId="6" xfId="0" applyFont="1" applyFill="1" applyBorder="1" applyAlignment="1">
      <alignment horizontal="center"/>
    </xf>
    <xf numFmtId="0" fontId="5" fillId="4" borderId="15" xfId="0" applyFont="1" applyFill="1" applyBorder="1" applyAlignment="1">
      <alignment horizontal="center"/>
    </xf>
    <xf numFmtId="0" fontId="5" fillId="0" borderId="8" xfId="0" applyFont="1" applyBorder="1"/>
    <xf numFmtId="3" fontId="5" fillId="0" borderId="6" xfId="0" applyNumberFormat="1" applyFont="1" applyBorder="1" applyAlignment="1">
      <alignment horizontal="right" vertical="center"/>
    </xf>
    <xf numFmtId="0" fontId="5" fillId="0" borderId="6" xfId="0" applyFont="1" applyBorder="1" applyAlignment="1">
      <alignment horizontal="right" vertical="center"/>
    </xf>
    <xf numFmtId="0" fontId="5" fillId="4" borderId="1" xfId="0" applyFont="1" applyFill="1" applyBorder="1" applyAlignment="1">
      <alignment horizontal="center"/>
    </xf>
    <xf numFmtId="3" fontId="5" fillId="0" borderId="0" xfId="0" applyNumberFormat="1" applyFont="1" applyAlignment="1">
      <alignment horizontal="right"/>
    </xf>
    <xf numFmtId="0" fontId="5" fillId="0" borderId="1" xfId="0" applyFont="1" applyBorder="1" applyAlignment="1">
      <alignment horizontal="right" vertical="center"/>
    </xf>
    <xf numFmtId="3" fontId="5" fillId="0" borderId="0" xfId="0" applyNumberFormat="1" applyFont="1" applyAlignment="1">
      <alignment horizontal="right" vertical="center"/>
    </xf>
    <xf numFmtId="0" fontId="5" fillId="4" borderId="1" xfId="0" applyFont="1" applyFill="1" applyBorder="1"/>
    <xf numFmtId="0" fontId="5" fillId="0" borderId="10" xfId="0" applyFont="1" applyBorder="1"/>
    <xf numFmtId="0" fontId="5" fillId="4" borderId="10" xfId="0" applyFont="1" applyFill="1" applyBorder="1" applyAlignment="1">
      <alignment horizontal="center"/>
    </xf>
    <xf numFmtId="3" fontId="5" fillId="0" borderId="9" xfId="0" applyNumberFormat="1" applyFont="1" applyBorder="1" applyAlignment="1">
      <alignment horizontal="right"/>
    </xf>
    <xf numFmtId="0" fontId="5" fillId="4" borderId="9" xfId="0" applyFont="1" applyFill="1" applyBorder="1" applyAlignment="1">
      <alignment horizontal="center"/>
    </xf>
    <xf numFmtId="0" fontId="5" fillId="4" borderId="13" xfId="0" applyFont="1" applyFill="1" applyBorder="1" applyAlignment="1">
      <alignment horizontal="center"/>
    </xf>
    <xf numFmtId="0" fontId="5" fillId="0" borderId="11" xfId="0" applyFont="1" applyBorder="1"/>
    <xf numFmtId="0" fontId="5" fillId="0" borderId="10" xfId="0" applyFont="1" applyBorder="1" applyAlignment="1">
      <alignment horizontal="right" vertical="center"/>
    </xf>
    <xf numFmtId="3" fontId="5" fillId="0" borderId="9" xfId="0" applyNumberFormat="1" applyFont="1" applyBorder="1" applyAlignment="1">
      <alignment horizontal="right" vertical="center"/>
    </xf>
    <xf numFmtId="0" fontId="5" fillId="0" borderId="9" xfId="0" applyFont="1" applyBorder="1" applyAlignment="1">
      <alignment horizontal="right" vertical="center"/>
    </xf>
    <xf numFmtId="3" fontId="5" fillId="4" borderId="4" xfId="0" applyNumberFormat="1" applyFont="1" applyFill="1" applyBorder="1" applyAlignment="1">
      <alignment horizontal="center"/>
    </xf>
    <xf numFmtId="3" fontId="5" fillId="0" borderId="3" xfId="0" applyNumberFormat="1" applyFont="1" applyBorder="1" applyAlignment="1">
      <alignment horizontal="center"/>
    </xf>
    <xf numFmtId="3" fontId="5" fillId="4" borderId="3" xfId="0" applyNumberFormat="1" applyFont="1" applyFill="1" applyBorder="1" applyAlignment="1">
      <alignment horizontal="center"/>
    </xf>
    <xf numFmtId="0" fontId="5" fillId="4" borderId="5" xfId="0" applyFont="1" applyFill="1" applyBorder="1" applyAlignment="1">
      <alignment horizontal="center"/>
    </xf>
    <xf numFmtId="3" fontId="5" fillId="0" borderId="4" xfId="0" applyNumberFormat="1" applyFont="1" applyBorder="1" applyAlignment="1">
      <alignment horizontal="right" vertical="center"/>
    </xf>
    <xf numFmtId="3" fontId="5" fillId="0" borderId="3" xfId="0" applyNumberFormat="1" applyFont="1" applyBorder="1" applyAlignment="1">
      <alignment horizontal="right" vertical="center"/>
    </xf>
    <xf numFmtId="0" fontId="5" fillId="0" borderId="5" xfId="0" applyFont="1" applyBorder="1" applyAlignment="1">
      <alignment horizontal="right" vertical="center"/>
    </xf>
    <xf numFmtId="3" fontId="11" fillId="0" borderId="12" xfId="0" applyNumberFormat="1" applyFont="1" applyBorder="1" applyAlignment="1">
      <alignment horizontal="right" vertical="center"/>
    </xf>
    <xf numFmtId="3" fontId="11" fillId="0" borderId="4" xfId="0" applyNumberFormat="1" applyFont="1" applyBorder="1" applyAlignment="1">
      <alignment horizontal="right"/>
    </xf>
    <xf numFmtId="3" fontId="11" fillId="0" borderId="3" xfId="0" applyNumberFormat="1" applyFont="1" applyBorder="1" applyAlignment="1">
      <alignment horizontal="right"/>
    </xf>
    <xf numFmtId="3" fontId="11" fillId="0" borderId="5" xfId="0" applyNumberFormat="1" applyFont="1" applyBorder="1" applyAlignment="1">
      <alignment horizontal="right"/>
    </xf>
    <xf numFmtId="3" fontId="11" fillId="0" borderId="4" xfId="0" applyNumberFormat="1" applyFont="1" applyBorder="1" applyAlignment="1">
      <alignment horizontal="right" vertical="center"/>
    </xf>
    <xf numFmtId="3" fontId="11" fillId="0" borderId="3" xfId="0" applyNumberFormat="1" applyFont="1" applyBorder="1" applyAlignment="1">
      <alignment horizontal="right" vertical="center"/>
    </xf>
    <xf numFmtId="0" fontId="5" fillId="0" borderId="0" xfId="0" applyFont="1" applyAlignment="1">
      <alignment wrapText="1"/>
    </xf>
    <xf numFmtId="0" fontId="11" fillId="0" borderId="0" xfId="2" applyFont="1" applyAlignment="1">
      <alignment horizontal="center" vertical="center" wrapText="1"/>
    </xf>
    <xf numFmtId="0" fontId="11" fillId="0" borderId="8" xfId="2" applyFont="1" applyBorder="1" applyAlignment="1">
      <alignment horizontal="center" vertical="center" wrapText="1"/>
    </xf>
    <xf numFmtId="0" fontId="5" fillId="0" borderId="0" xfId="2" applyFont="1" applyAlignment="1">
      <alignment horizontal="center" vertical="center" wrapText="1"/>
    </xf>
    <xf numFmtId="0" fontId="5" fillId="8" borderId="0" xfId="2" applyFont="1" applyFill="1" applyAlignment="1">
      <alignment horizontal="left" vertical="center"/>
    </xf>
    <xf numFmtId="0" fontId="5" fillId="8" borderId="0" xfId="2" applyFont="1" applyFill="1" applyAlignment="1">
      <alignment horizontal="center" vertical="center"/>
    </xf>
    <xf numFmtId="165" fontId="5" fillId="8" borderId="0" xfId="1" applyNumberFormat="1" applyFont="1" applyFill="1" applyBorder="1" applyAlignment="1">
      <alignment horizontal="center" vertical="center"/>
    </xf>
    <xf numFmtId="165" fontId="5" fillId="0" borderId="0" xfId="1" applyNumberFormat="1" applyFont="1" applyBorder="1" applyAlignment="1">
      <alignment horizontal="center" vertical="center"/>
    </xf>
    <xf numFmtId="164" fontId="5" fillId="0" borderId="8" xfId="1" applyFont="1" applyBorder="1" applyAlignment="1">
      <alignment horizontal="center" vertical="center"/>
    </xf>
    <xf numFmtId="164" fontId="5" fillId="0" borderId="2" xfId="1" applyFont="1" applyBorder="1" applyAlignment="1">
      <alignment horizontal="center" vertical="center"/>
    </xf>
    <xf numFmtId="0" fontId="5" fillId="8" borderId="0" xfId="2" applyFont="1" applyFill="1" applyAlignment="1">
      <alignment horizontal="left" vertical="center" wrapText="1"/>
    </xf>
    <xf numFmtId="9" fontId="5" fillId="0" borderId="0" xfId="6" applyFont="1" applyBorder="1" applyAlignment="1">
      <alignment horizontal="center" vertical="center"/>
    </xf>
    <xf numFmtId="0" fontId="5" fillId="0" borderId="0" xfId="2" applyFont="1" applyAlignment="1">
      <alignment vertical="center"/>
    </xf>
    <xf numFmtId="165" fontId="11" fillId="0" borderId="0" xfId="1" applyNumberFormat="1" applyFont="1" applyBorder="1" applyAlignment="1">
      <alignment horizontal="center" vertical="center"/>
    </xf>
    <xf numFmtId="165" fontId="11" fillId="0" borderId="11" xfId="1" applyNumberFormat="1" applyFont="1" applyBorder="1" applyAlignment="1">
      <alignment horizontal="center" vertical="center"/>
    </xf>
    <xf numFmtId="165" fontId="5" fillId="0" borderId="0" xfId="1" applyNumberFormat="1" applyFont="1" applyBorder="1" applyAlignment="1"/>
    <xf numFmtId="0" fontId="5" fillId="0" borderId="0" xfId="2" applyFont="1" applyAlignment="1">
      <alignment horizontal="left" vertical="center" wrapText="1"/>
    </xf>
    <xf numFmtId="0" fontId="11" fillId="0" borderId="0" xfId="2" applyFont="1" applyAlignment="1">
      <alignment horizontal="left"/>
    </xf>
    <xf numFmtId="0" fontId="11" fillId="0" borderId="0" xfId="2" applyFont="1" applyAlignment="1">
      <alignment horizontal="center"/>
    </xf>
    <xf numFmtId="0" fontId="11" fillId="0" borderId="0" xfId="2" applyFont="1" applyAlignment="1">
      <alignment horizontal="center" vertical="center"/>
    </xf>
    <xf numFmtId="1" fontId="11" fillId="0" borderId="0" xfId="2" applyNumberFormat="1" applyFont="1" applyAlignment="1">
      <alignment horizontal="center" vertical="center"/>
    </xf>
    <xf numFmtId="1" fontId="5" fillId="0" borderId="0" xfId="2" applyNumberFormat="1" applyFont="1" applyAlignment="1">
      <alignment horizontal="center" vertical="center"/>
    </xf>
    <xf numFmtId="165" fontId="5" fillId="0" borderId="0" xfId="0" applyNumberFormat="1" applyFont="1"/>
    <xf numFmtId="10" fontId="5" fillId="8" borderId="0" xfId="0" applyNumberFormat="1" applyFont="1" applyFill="1"/>
    <xf numFmtId="167" fontId="5" fillId="8" borderId="0" xfId="0" applyNumberFormat="1" applyFont="1" applyFill="1"/>
    <xf numFmtId="0" fontId="11" fillId="0" borderId="0" xfId="0" applyFont="1" applyAlignment="1">
      <alignment horizontal="center" vertical="center"/>
    </xf>
    <xf numFmtId="9" fontId="5" fillId="0" borderId="0" xfId="0" applyNumberFormat="1" applyFont="1"/>
    <xf numFmtId="3" fontId="5" fillId="0" borderId="0" xfId="0" applyNumberFormat="1" applyFont="1" applyAlignment="1">
      <alignment horizontal="center"/>
    </xf>
    <xf numFmtId="1" fontId="5" fillId="0" borderId="0" xfId="0" applyNumberFormat="1" applyFont="1"/>
    <xf numFmtId="2" fontId="5" fillId="8" borderId="0" xfId="0" applyNumberFormat="1" applyFont="1" applyFill="1"/>
    <xf numFmtId="165" fontId="5" fillId="0" borderId="0" xfId="1" applyNumberFormat="1" applyFont="1"/>
    <xf numFmtId="165" fontId="5" fillId="8" borderId="0" xfId="1" applyNumberFormat="1" applyFont="1" applyFill="1"/>
    <xf numFmtId="165" fontId="11" fillId="0" borderId="0" xfId="1" applyNumberFormat="1" applyFont="1"/>
    <xf numFmtId="165" fontId="11" fillId="0" borderId="0" xfId="0" applyNumberFormat="1" applyFont="1"/>
    <xf numFmtId="166" fontId="5" fillId="0" borderId="0" xfId="0" applyNumberFormat="1" applyFont="1"/>
    <xf numFmtId="2" fontId="5" fillId="0" borderId="0" xfId="0" applyNumberFormat="1" applyFont="1"/>
    <xf numFmtId="1" fontId="5" fillId="0" borderId="9" xfId="0" applyNumberFormat="1" applyFont="1" applyBorder="1"/>
    <xf numFmtId="2" fontId="5" fillId="0" borderId="0" xfId="0" applyNumberFormat="1" applyFont="1" applyAlignment="1">
      <alignment horizontal="center"/>
    </xf>
    <xf numFmtId="10" fontId="0" fillId="8" borderId="0" xfId="0" applyNumberFormat="1" applyFill="1" applyAlignment="1">
      <alignment horizontal="center"/>
    </xf>
    <xf numFmtId="3" fontId="0" fillId="0" borderId="24" xfId="0" applyNumberFormat="1" applyBorder="1"/>
    <xf numFmtId="0" fontId="5" fillId="8" borderId="0" xfId="0" applyFont="1" applyFill="1" applyAlignment="1">
      <alignment horizontal="left" vertical="center" wrapText="1"/>
    </xf>
    <xf numFmtId="0" fontId="5" fillId="0" borderId="0" xfId="0" applyFont="1" applyAlignment="1">
      <alignment horizontal="left" vertical="center" wrapText="1"/>
    </xf>
    <xf numFmtId="0" fontId="5" fillId="0" borderId="0" xfId="0" applyFont="1" applyAlignment="1">
      <alignment horizontal="left" vertical="top" wrapText="1"/>
    </xf>
    <xf numFmtId="0" fontId="5" fillId="0" borderId="0" xfId="2" applyFont="1" applyAlignment="1">
      <alignment horizontal="left" vertical="center"/>
    </xf>
    <xf numFmtId="169" fontId="0" fillId="0" borderId="0" xfId="0" applyNumberFormat="1"/>
    <xf numFmtId="0" fontId="12" fillId="0" borderId="3" xfId="0" applyFont="1" applyBorder="1" applyAlignment="1">
      <alignment horizontal="center" vertical="center" wrapText="1"/>
    </xf>
    <xf numFmtId="3" fontId="13" fillId="0" borderId="6" xfId="0" applyNumberFormat="1" applyFont="1" applyBorder="1"/>
    <xf numFmtId="3" fontId="13" fillId="0" borderId="0" xfId="0" applyNumberFormat="1" applyFont="1"/>
    <xf numFmtId="3" fontId="13" fillId="0" borderId="9" xfId="0" applyNumberFormat="1" applyFont="1" applyBorder="1"/>
    <xf numFmtId="3" fontId="12" fillId="0" borderId="3" xfId="0" applyNumberFormat="1" applyFont="1" applyBorder="1"/>
    <xf numFmtId="0" fontId="13" fillId="0" borderId="1" xfId="0" applyFont="1" applyBorder="1"/>
    <xf numFmtId="0" fontId="13" fillId="0" borderId="10" xfId="0" applyFont="1" applyBorder="1"/>
    <xf numFmtId="3" fontId="13" fillId="0" borderId="9" xfId="0" applyNumberFormat="1" applyFont="1" applyBorder="1" applyAlignment="1">
      <alignment horizontal="right"/>
    </xf>
    <xf numFmtId="3" fontId="12" fillId="0" borderId="3" xfId="0" applyNumberFormat="1" applyFont="1" applyBorder="1" applyAlignment="1">
      <alignment horizontal="right"/>
    </xf>
    <xf numFmtId="3" fontId="12" fillId="0" borderId="12" xfId="0" applyNumberFormat="1" applyFont="1" applyBorder="1" applyAlignment="1">
      <alignment horizontal="right"/>
    </xf>
    <xf numFmtId="0" fontId="13" fillId="0" borderId="2" xfId="0" applyFont="1" applyBorder="1"/>
    <xf numFmtId="0" fontId="13" fillId="0" borderId="11" xfId="0" applyFont="1" applyBorder="1"/>
    <xf numFmtId="3" fontId="13" fillId="0" borderId="0" xfId="0" applyNumberFormat="1" applyFont="1" applyAlignment="1">
      <alignment horizontal="right" vertical="center"/>
    </xf>
    <xf numFmtId="3" fontId="13" fillId="0" borderId="9" xfId="0" applyNumberFormat="1" applyFont="1" applyBorder="1" applyAlignment="1">
      <alignment horizontal="right" vertical="center"/>
    </xf>
    <xf numFmtId="3" fontId="12" fillId="0" borderId="12" xfId="0" applyNumberFormat="1" applyFont="1" applyBorder="1" applyAlignment="1">
      <alignment horizontal="right" vertical="center"/>
    </xf>
    <xf numFmtId="3" fontId="12" fillId="0" borderId="3" xfId="0" applyNumberFormat="1" applyFont="1" applyBorder="1" applyAlignment="1">
      <alignment horizontal="right" vertical="center"/>
    </xf>
    <xf numFmtId="0" fontId="13" fillId="8" borderId="0" xfId="0" applyFont="1" applyFill="1"/>
    <xf numFmtId="0" fontId="13" fillId="0" borderId="0" xfId="0" applyFont="1"/>
    <xf numFmtId="3" fontId="13" fillId="0" borderId="0" xfId="0" applyNumberFormat="1" applyFont="1" applyAlignment="1">
      <alignment horizontal="center"/>
    </xf>
    <xf numFmtId="3" fontId="12" fillId="0" borderId="0" xfId="0" applyNumberFormat="1" applyFont="1"/>
    <xf numFmtId="0" fontId="12" fillId="0" borderId="5" xfId="0" applyFont="1" applyBorder="1" applyAlignment="1">
      <alignment horizontal="center" vertical="center" wrapText="1"/>
    </xf>
    <xf numFmtId="3" fontId="13" fillId="0" borderId="15" xfId="0" applyNumberFormat="1" applyFont="1" applyBorder="1"/>
    <xf numFmtId="3" fontId="13" fillId="0" borderId="14" xfId="0" applyNumberFormat="1" applyFont="1" applyBorder="1"/>
    <xf numFmtId="3" fontId="13" fillId="0" borderId="13" xfId="0" applyNumberFormat="1" applyFont="1" applyBorder="1"/>
    <xf numFmtId="3" fontId="12" fillId="0" borderId="5" xfId="0" applyNumberFormat="1" applyFont="1" applyBorder="1"/>
    <xf numFmtId="0" fontId="13" fillId="0" borderId="0" xfId="0" applyFont="1" applyAlignment="1">
      <alignment horizontal="right"/>
    </xf>
    <xf numFmtId="4" fontId="13" fillId="0" borderId="0" xfId="0" applyNumberFormat="1" applyFont="1"/>
    <xf numFmtId="0" fontId="12" fillId="0" borderId="27" xfId="0" applyFont="1" applyBorder="1" applyAlignment="1">
      <alignment horizontal="center" vertical="center" wrapText="1"/>
    </xf>
    <xf numFmtId="0" fontId="12" fillId="0" borderId="40" xfId="0" applyFont="1" applyBorder="1" applyAlignment="1">
      <alignment horizontal="center" vertical="center" wrapText="1"/>
    </xf>
    <xf numFmtId="0" fontId="12" fillId="0" borderId="12" xfId="0" applyFont="1" applyBorder="1" applyAlignment="1">
      <alignment horizontal="center" vertical="center" wrapText="1"/>
    </xf>
    <xf numFmtId="3" fontId="13" fillId="0" borderId="18" xfId="0" applyNumberFormat="1" applyFont="1" applyBorder="1"/>
    <xf numFmtId="0" fontId="13" fillId="0" borderId="41" xfId="0" applyFont="1" applyBorder="1"/>
    <xf numFmtId="3" fontId="12" fillId="0" borderId="37" xfId="0" applyNumberFormat="1" applyFont="1" applyBorder="1"/>
    <xf numFmtId="3" fontId="13" fillId="0" borderId="16" xfId="0" applyNumberFormat="1" applyFont="1" applyBorder="1"/>
    <xf numFmtId="3" fontId="13" fillId="0" borderId="42" xfId="0" applyNumberFormat="1" applyFont="1" applyBorder="1"/>
    <xf numFmtId="3" fontId="12" fillId="0" borderId="38" xfId="0" applyNumberFormat="1" applyFont="1" applyBorder="1"/>
    <xf numFmtId="3" fontId="13" fillId="0" borderId="23" xfId="0" applyNumberFormat="1" applyFont="1" applyBorder="1"/>
    <xf numFmtId="3" fontId="13" fillId="0" borderId="43" xfId="0" applyNumberFormat="1" applyFont="1" applyBorder="1"/>
    <xf numFmtId="3" fontId="12" fillId="0" borderId="39" xfId="0" applyNumberFormat="1" applyFont="1" applyBorder="1"/>
    <xf numFmtId="3" fontId="12" fillId="0" borderId="27" xfId="0" applyNumberFormat="1" applyFont="1" applyBorder="1"/>
    <xf numFmtId="3" fontId="12" fillId="0" borderId="40" xfId="0" applyNumberFormat="1" applyFont="1" applyBorder="1"/>
    <xf numFmtId="3" fontId="12" fillId="0" borderId="12" xfId="0" applyNumberFormat="1" applyFont="1" applyBorder="1"/>
    <xf numFmtId="0" fontId="12" fillId="0" borderId="0" xfId="0" applyFont="1" applyAlignment="1">
      <alignment horizontal="center" vertical="center" wrapText="1"/>
    </xf>
    <xf numFmtId="0" fontId="13" fillId="0" borderId="15" xfId="0" applyFont="1" applyBorder="1"/>
    <xf numFmtId="2" fontId="13" fillId="0" borderId="14" xfId="0" applyNumberFormat="1" applyFont="1" applyBorder="1"/>
    <xf numFmtId="2" fontId="13" fillId="0" borderId="13" xfId="0" applyNumberFormat="1" applyFont="1" applyBorder="1"/>
    <xf numFmtId="0" fontId="12" fillId="0" borderId="3" xfId="0" applyFont="1" applyBorder="1"/>
    <xf numFmtId="2" fontId="12" fillId="0" borderId="5" xfId="0" applyNumberFormat="1" applyFont="1" applyBorder="1"/>
    <xf numFmtId="0" fontId="13" fillId="0" borderId="7" xfId="0" applyFont="1" applyBorder="1"/>
    <xf numFmtId="0" fontId="12" fillId="0" borderId="6" xfId="0" applyFont="1" applyBorder="1" applyAlignment="1">
      <alignment horizontal="center"/>
    </xf>
    <xf numFmtId="3" fontId="12" fillId="0" borderId="6" xfId="0" applyNumberFormat="1" applyFont="1" applyBorder="1"/>
    <xf numFmtId="0" fontId="12" fillId="0" borderId="15" xfId="0" applyFont="1" applyBorder="1"/>
    <xf numFmtId="0" fontId="12" fillId="0" borderId="0" xfId="0" applyFont="1" applyAlignment="1">
      <alignment horizontal="center"/>
    </xf>
    <xf numFmtId="10" fontId="12" fillId="0" borderId="0" xfId="0" applyNumberFormat="1" applyFont="1"/>
    <xf numFmtId="0" fontId="13" fillId="0" borderId="14" xfId="0" applyFont="1" applyBorder="1"/>
    <xf numFmtId="4" fontId="12" fillId="0" borderId="0" xfId="0" applyNumberFormat="1" applyFont="1"/>
    <xf numFmtId="10" fontId="12" fillId="0" borderId="14" xfId="0" applyNumberFormat="1" applyFont="1" applyBorder="1"/>
    <xf numFmtId="0" fontId="12" fillId="0" borderId="14" xfId="0" applyFont="1" applyBorder="1"/>
    <xf numFmtId="0" fontId="12" fillId="0" borderId="0" xfId="0" applyFont="1" applyAlignment="1">
      <alignment horizontal="right"/>
    </xf>
    <xf numFmtId="0" fontId="12" fillId="0" borderId="9" xfId="0" applyFont="1" applyBorder="1" applyAlignment="1">
      <alignment horizontal="right"/>
    </xf>
    <xf numFmtId="4" fontId="12" fillId="0" borderId="9" xfId="0" applyNumberFormat="1" applyFont="1" applyBorder="1"/>
    <xf numFmtId="0" fontId="13" fillId="0" borderId="13" xfId="0" applyFont="1" applyBorder="1"/>
    <xf numFmtId="1" fontId="0" fillId="8" borderId="1" xfId="0" applyNumberFormat="1" applyFill="1" applyBorder="1"/>
    <xf numFmtId="3" fontId="0" fillId="8" borderId="1" xfId="0" applyNumberFormat="1" applyFill="1" applyBorder="1"/>
    <xf numFmtId="1" fontId="0" fillId="8" borderId="10" xfId="0" applyNumberFormat="1" applyFill="1" applyBorder="1"/>
    <xf numFmtId="3" fontId="0" fillId="8" borderId="10" xfId="0" applyNumberFormat="1" applyFill="1" applyBorder="1"/>
    <xf numFmtId="4" fontId="0" fillId="8" borderId="14" xfId="0" applyNumberFormat="1" applyFill="1" applyBorder="1"/>
    <xf numFmtId="4" fontId="0" fillId="8" borderId="13" xfId="0" applyNumberFormat="1" applyFill="1" applyBorder="1"/>
    <xf numFmtId="0" fontId="0" fillId="8" borderId="14" xfId="0" applyFill="1" applyBorder="1"/>
    <xf numFmtId="0" fontId="0" fillId="8" borderId="13" xfId="0" applyFill="1" applyBorder="1"/>
    <xf numFmtId="168" fontId="5" fillId="0" borderId="0" xfId="6" applyNumberFormat="1" applyFont="1" applyFill="1"/>
    <xf numFmtId="0" fontId="2" fillId="0" borderId="8" xfId="0" applyFont="1" applyBorder="1"/>
    <xf numFmtId="0" fontId="2" fillId="0" borderId="2" xfId="0" applyFont="1" applyBorder="1"/>
    <xf numFmtId="3" fontId="2" fillId="0" borderId="7" xfId="0" applyNumberFormat="1" applyFont="1" applyBorder="1"/>
    <xf numFmtId="3" fontId="2" fillId="0" borderId="1" xfId="0" applyNumberFormat="1" applyFont="1" applyBorder="1"/>
    <xf numFmtId="3" fontId="2" fillId="0" borderId="2" xfId="0" applyNumberFormat="1" applyFont="1" applyBorder="1"/>
    <xf numFmtId="0" fontId="2" fillId="0" borderId="12" xfId="0" applyFont="1" applyBorder="1"/>
    <xf numFmtId="9" fontId="0" fillId="8" borderId="8" xfId="0" applyNumberFormat="1" applyFill="1" applyBorder="1"/>
    <xf numFmtId="1" fontId="0" fillId="8" borderId="7" xfId="0" applyNumberFormat="1" applyFill="1" applyBorder="1"/>
    <xf numFmtId="4" fontId="0" fillId="8" borderId="15" xfId="0" applyNumberFormat="1" applyFill="1" applyBorder="1"/>
    <xf numFmtId="3" fontId="0" fillId="8" borderId="7" xfId="0" applyNumberFormat="1" applyFill="1" applyBorder="1"/>
    <xf numFmtId="2" fontId="0" fillId="8" borderId="13" xfId="0" applyNumberFormat="1" applyFill="1" applyBorder="1"/>
    <xf numFmtId="165" fontId="11" fillId="0" borderId="12" xfId="1" applyNumberFormat="1" applyFont="1" applyBorder="1" applyAlignment="1">
      <alignment horizontal="center" vertical="center"/>
    </xf>
    <xf numFmtId="165" fontId="5" fillId="0" borderId="0" xfId="1" applyNumberFormat="1" applyFont="1" applyBorder="1"/>
    <xf numFmtId="0" fontId="5" fillId="8" borderId="0" xfId="0" applyFont="1" applyFill="1" applyAlignment="1">
      <alignment horizontal="center"/>
    </xf>
    <xf numFmtId="0" fontId="5" fillId="8" borderId="0" xfId="0" applyFont="1" applyFill="1"/>
    <xf numFmtId="0" fontId="5" fillId="0" borderId="0" xfId="0" applyFont="1" applyAlignment="1">
      <alignment horizontal="left" vertical="center"/>
    </xf>
    <xf numFmtId="9" fontId="5" fillId="0" borderId="0" xfId="6" applyFont="1" applyFill="1" applyAlignment="1">
      <alignment vertical="center"/>
    </xf>
    <xf numFmtId="9" fontId="5" fillId="0" borderId="0" xfId="6" applyFont="1" applyFill="1" applyAlignment="1">
      <alignment horizontal="center" vertical="center"/>
    </xf>
    <xf numFmtId="3" fontId="12" fillId="0" borderId="8" xfId="0" applyNumberFormat="1" applyFont="1" applyBorder="1" applyAlignment="1">
      <alignment horizontal="right" vertical="center"/>
    </xf>
    <xf numFmtId="0" fontId="12" fillId="0" borderId="2" xfId="0" applyFont="1" applyBorder="1" applyAlignment="1">
      <alignment horizontal="right" vertical="center"/>
    </xf>
    <xf numFmtId="3" fontId="2" fillId="0" borderId="8" xfId="0" applyNumberFormat="1" applyFont="1" applyBorder="1" applyAlignment="1">
      <alignment horizontal="right" vertical="center"/>
    </xf>
    <xf numFmtId="0" fontId="2" fillId="0" borderId="2" xfId="0" applyFont="1" applyBorder="1" applyAlignment="1">
      <alignment horizontal="right" vertical="center"/>
    </xf>
    <xf numFmtId="0" fontId="2" fillId="0" borderId="11" xfId="0" applyFont="1" applyBorder="1" applyAlignment="1">
      <alignment horizontal="right" vertical="center"/>
    </xf>
    <xf numFmtId="3" fontId="11" fillId="0" borderId="8" xfId="0" applyNumberFormat="1" applyFont="1" applyBorder="1" applyAlignment="1">
      <alignment horizontal="right" vertical="center"/>
    </xf>
    <xf numFmtId="0" fontId="11" fillId="0" borderId="2" xfId="0" applyFont="1" applyBorder="1" applyAlignment="1">
      <alignment horizontal="right" vertical="center"/>
    </xf>
    <xf numFmtId="0" fontId="11" fillId="0" borderId="11" xfId="0" applyFont="1" applyBorder="1" applyAlignment="1">
      <alignment horizontal="right" vertical="center"/>
    </xf>
    <xf numFmtId="0" fontId="5" fillId="8" borderId="0" xfId="2" applyFont="1" applyFill="1" applyAlignment="1">
      <alignment horizontal="left" vertical="center" wrapText="1"/>
    </xf>
    <xf numFmtId="0" fontId="5" fillId="8" borderId="0" xfId="0" applyFont="1" applyFill="1" applyAlignment="1">
      <alignment horizontal="left" vertical="center" wrapText="1"/>
    </xf>
    <xf numFmtId="0" fontId="5" fillId="8" borderId="0" xfId="0" applyFont="1" applyFill="1" applyAlignment="1">
      <alignment horizontal="left" vertical="top" wrapText="1"/>
    </xf>
    <xf numFmtId="0" fontId="5" fillId="8" borderId="0" xfId="2" applyFont="1" applyFill="1" applyAlignment="1">
      <alignment horizontal="left" vertical="center"/>
    </xf>
    <xf numFmtId="0" fontId="11" fillId="0" borderId="0" xfId="0" applyFont="1" applyAlignment="1">
      <alignment horizontal="center" vertical="center" wrapText="1"/>
    </xf>
    <xf numFmtId="0" fontId="5" fillId="0" borderId="0" xfId="0" applyFont="1" applyAlignment="1">
      <alignment horizontal="center"/>
    </xf>
    <xf numFmtId="0" fontId="1" fillId="6" borderId="0" xfId="8" applyAlignment="1">
      <alignment horizontal="center"/>
    </xf>
    <xf numFmtId="0" fontId="2" fillId="0" borderId="29" xfId="0" applyFont="1" applyBorder="1" applyAlignment="1">
      <alignment horizontal="center" wrapText="1"/>
    </xf>
    <xf numFmtId="0" fontId="2" fillId="0" borderId="30" xfId="0" applyFont="1" applyBorder="1" applyAlignment="1">
      <alignment horizontal="center" wrapText="1"/>
    </xf>
    <xf numFmtId="0" fontId="2" fillId="0" borderId="4" xfId="0" applyFont="1" applyBorder="1" applyAlignment="1">
      <alignment horizontal="center" wrapText="1"/>
    </xf>
    <xf numFmtId="0" fontId="2" fillId="0" borderId="31" xfId="0" applyFont="1" applyBorder="1" applyAlignment="1">
      <alignment horizontal="center" wrapText="1"/>
    </xf>
    <xf numFmtId="0" fontId="6" fillId="7" borderId="0" xfId="9" applyAlignment="1">
      <alignment horizontal="center" vertical="center" wrapText="1"/>
    </xf>
    <xf numFmtId="0" fontId="0" fillId="0" borderId="8"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3" fontId="2" fillId="0" borderId="15" xfId="0" applyNumberFormat="1" applyFont="1" applyBorder="1" applyAlignment="1">
      <alignment horizontal="right" vertical="center"/>
    </xf>
    <xf numFmtId="0" fontId="2" fillId="0" borderId="14" xfId="0" applyFont="1" applyBorder="1" applyAlignment="1">
      <alignment horizontal="right" vertical="center"/>
    </xf>
    <xf numFmtId="0" fontId="2" fillId="0" borderId="13" xfId="0" applyFont="1" applyBorder="1" applyAlignment="1">
      <alignment horizontal="right" vertical="center"/>
    </xf>
    <xf numFmtId="3" fontId="2" fillId="0" borderId="2" xfId="0" applyNumberFormat="1" applyFont="1" applyBorder="1" applyAlignment="1">
      <alignment vertical="center"/>
    </xf>
    <xf numFmtId="0" fontId="2" fillId="0" borderId="2" xfId="0" applyFont="1" applyBorder="1" applyAlignment="1">
      <alignment vertical="center"/>
    </xf>
    <xf numFmtId="3" fontId="2" fillId="0" borderId="8" xfId="0" applyNumberFormat="1" applyFont="1" applyBorder="1" applyAlignment="1">
      <alignment vertical="center"/>
    </xf>
    <xf numFmtId="3" fontId="2" fillId="0" borderId="11" xfId="0" applyNumberFormat="1" applyFont="1" applyBorder="1" applyAlignment="1">
      <alignment vertical="center"/>
    </xf>
    <xf numFmtId="0" fontId="0" fillId="0" borderId="15" xfId="0" applyBorder="1" applyAlignment="1">
      <alignment horizontal="center" vertical="center"/>
    </xf>
    <xf numFmtId="0" fontId="0" fillId="0" borderId="14"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wrapText="1"/>
    </xf>
    <xf numFmtId="0" fontId="0" fillId="0" borderId="14" xfId="0" applyBorder="1" applyAlignment="1">
      <alignment horizontal="center" vertical="center" wrapText="1"/>
    </xf>
    <xf numFmtId="0" fontId="0" fillId="0" borderId="13" xfId="0" applyBorder="1" applyAlignment="1">
      <alignment horizontal="center" vertical="center" wrapText="1"/>
    </xf>
    <xf numFmtId="0" fontId="0" fillId="0" borderId="8" xfId="0" applyBorder="1" applyAlignment="1">
      <alignment horizontal="center" vertical="center"/>
    </xf>
    <xf numFmtId="0" fontId="0" fillId="0" borderId="2" xfId="0" applyBorder="1" applyAlignment="1">
      <alignment horizontal="center" vertical="center"/>
    </xf>
    <xf numFmtId="0" fontId="0" fillId="0" borderId="11" xfId="0" applyBorder="1" applyAlignment="1">
      <alignment horizontal="center" vertical="center"/>
    </xf>
    <xf numFmtId="0" fontId="5" fillId="0" borderId="0" xfId="0" applyFont="1" applyBorder="1" applyAlignment="1">
      <alignment horizontal="right" vertical="center"/>
    </xf>
    <xf numFmtId="0" fontId="11" fillId="0" borderId="4" xfId="0" applyFont="1" applyBorder="1" applyAlignment="1">
      <alignment horizontal="center"/>
    </xf>
    <xf numFmtId="3" fontId="11" fillId="0" borderId="3" xfId="0" applyNumberFormat="1" applyFont="1" applyBorder="1"/>
    <xf numFmtId="0" fontId="11" fillId="0" borderId="5" xfId="0" applyFont="1" applyBorder="1"/>
    <xf numFmtId="3" fontId="0" fillId="8" borderId="9" xfId="0" applyNumberFormat="1" applyFill="1" applyBorder="1"/>
    <xf numFmtId="9" fontId="14" fillId="8" borderId="0" xfId="0" applyNumberFormat="1" applyFont="1" applyFill="1" applyAlignment="1">
      <alignment horizontal="center"/>
    </xf>
    <xf numFmtId="3" fontId="0" fillId="0" borderId="0" xfId="0" applyNumberFormat="1" applyBorder="1" applyAlignment="1">
      <alignment horizontal="right"/>
    </xf>
    <xf numFmtId="3" fontId="12" fillId="0" borderId="0" xfId="0" applyNumberFormat="1" applyFont="1" applyAlignment="1">
      <alignment horizontal="center"/>
    </xf>
    <xf numFmtId="4" fontId="0" fillId="0" borderId="2" xfId="0" applyNumberFormat="1" applyBorder="1"/>
    <xf numFmtId="4" fontId="2" fillId="0" borderId="12" xfId="0" applyNumberFormat="1" applyFont="1" applyBorder="1"/>
  </cellXfs>
  <cellStyles count="10">
    <cellStyle name="40% - Énfasis1" xfId="8" builtinId="31"/>
    <cellStyle name="Énfasis1" xfId="7" builtinId="29"/>
    <cellStyle name="Énfasis5" xfId="9" builtinId="45"/>
    <cellStyle name="Millares" xfId="1" builtinId="3"/>
    <cellStyle name="Millares 2" xfId="3" xr:uid="{00000000-0005-0000-0000-000002000000}"/>
    <cellStyle name="Normal" xfId="0" builtinId="0"/>
    <cellStyle name="Normal 2" xfId="2" xr:uid="{00000000-0005-0000-0000-000004000000}"/>
    <cellStyle name="Normal 3" xfId="5" xr:uid="{00000000-0005-0000-0000-000005000000}"/>
    <cellStyle name="Porcentaje" xfId="6" builtinId="5"/>
    <cellStyle name="Porcentaje 2" xfId="4" xr:uid="{00000000-0005-0000-0000-000006000000}"/>
  </cellStyles>
  <dxfs count="0"/>
  <tableStyles count="0" defaultTableStyle="TableStyleMedium2" defaultPivotStyle="PivotStyleLight16"/>
  <colors>
    <mruColors>
      <color rgb="FFFFFF93"/>
      <color rgb="FFFF6161"/>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Inversiones Amortizables Tangibles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09-455E-B8DF-50E024AFFF9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09-455E-B8DF-50E024AFFF9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09-455E-B8DF-50E024AFFF9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C09-455E-B8DF-50E024AFFF9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C09-455E-B8DF-50E024AFFF9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C09-455E-B8DF-50E024AFFF9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C09-455E-B8DF-50E024AFFF9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C09-455E-B8DF-50E024AFFF9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C09-455E-B8DF-50E024AFFF9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C09-455E-B8DF-50E024AFFF9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5C09-455E-B8DF-50E024AFFF9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5C09-455E-B8DF-50E024AFFF9D}"/>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5C09-455E-B8DF-50E024AFFF9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'Cuadro Inv'!$B$6:$B$18</c:f>
              <c:strCache>
                <c:ptCount val="13"/>
                <c:pt idx="0">
                  <c:v>Obras especiales sobre el terreno</c:v>
                </c:pt>
                <c:pt idx="1">
                  <c:v>Obra Civil (incl. Instalaciones Provisorias)</c:v>
                </c:pt>
                <c:pt idx="2">
                  <c:v>Maquinaria y equipos de proceso instalados</c:v>
                </c:pt>
                <c:pt idx="3">
                  <c:v>Instalaciones de Servicios</c:v>
                </c:pt>
                <c:pt idx="4">
                  <c:v>Instrumentación y Control</c:v>
                </c:pt>
                <c:pt idx="5">
                  <c:v>Cañerías</c:v>
                </c:pt>
                <c:pt idx="6">
                  <c:v>Instalaciones Eléctricas</c:v>
                </c:pt>
                <c:pt idx="7">
                  <c:v>Aislaciones</c:v>
                </c:pt>
                <c:pt idx="8">
                  <c:v>Instalaciones externas</c:v>
                </c:pt>
                <c:pt idx="9">
                  <c:v>Muebles y equipos de oficina, vestuario, comedor</c:v>
                </c:pt>
                <c:pt idx="10">
                  <c:v>Vehículos</c:v>
                </c:pt>
                <c:pt idx="11">
                  <c:v>Equipos HSE</c:v>
                </c:pt>
                <c:pt idx="12">
                  <c:v>Envases</c:v>
                </c:pt>
              </c:strCache>
            </c:strRef>
          </c:cat>
          <c:val>
            <c:numRef>
              <c:f>'Cuadro Inv'!$C$6:$C$18</c:f>
              <c:numCache>
                <c:formatCode>#,##0</c:formatCode>
                <c:ptCount val="13"/>
                <c:pt idx="0">
                  <c:v>400000</c:v>
                </c:pt>
                <c:pt idx="1">
                  <c:v>1300000</c:v>
                </c:pt>
                <c:pt idx="2">
                  <c:v>3365971</c:v>
                </c:pt>
                <c:pt idx="3">
                  <c:v>1900000</c:v>
                </c:pt>
                <c:pt idx="4">
                  <c:v>750000</c:v>
                </c:pt>
                <c:pt idx="5">
                  <c:v>2000000</c:v>
                </c:pt>
                <c:pt idx="6">
                  <c:v>500000</c:v>
                </c:pt>
                <c:pt idx="7">
                  <c:v>240000</c:v>
                </c:pt>
                <c:pt idx="8">
                  <c:v>20000</c:v>
                </c:pt>
                <c:pt idx="9">
                  <c:v>100000</c:v>
                </c:pt>
                <c:pt idx="10">
                  <c:v>150000</c:v>
                </c:pt>
                <c:pt idx="11">
                  <c:v>50000</c:v>
                </c:pt>
                <c:pt idx="12">
                  <c:v>50000</c:v>
                </c:pt>
              </c:numCache>
            </c:numRef>
          </c:val>
          <c:extLst>
            <c:ext xmlns:c16="http://schemas.microsoft.com/office/drawing/2014/chart" uri="{C3380CC4-5D6E-409C-BE32-E72D297353CC}">
              <c16:uniqueId val="{00000000-871C-4AA4-B2C0-936BFD1A7966}"/>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Análisis de Sensibilidad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scatterChart>
        <c:scatterStyle val="lineMarker"/>
        <c:varyColors val="0"/>
        <c:ser>
          <c:idx val="0"/>
          <c:order val="0"/>
          <c:tx>
            <c:v>Precio del Producto Principal</c:v>
          </c:tx>
          <c:spPr>
            <a:ln w="19050" cap="rnd">
              <a:solidFill>
                <a:schemeClr val="accent1"/>
              </a:solidFill>
              <a:round/>
            </a:ln>
            <a:effectLst/>
          </c:spPr>
          <c:marker>
            <c:symbol val="none"/>
          </c:marker>
          <c:xVal>
            <c:numRef>
              <c:f>Sensibilidad!$B$57:$B$67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Sensibilidad!$D$57:$D$67</c:f>
              <c:numCache>
                <c:formatCode>General</c:formatCode>
                <c:ptCount val="11"/>
              </c:numCache>
            </c:numRef>
          </c:yVal>
          <c:smooth val="0"/>
          <c:extLst>
            <c:ext xmlns:c16="http://schemas.microsoft.com/office/drawing/2014/chart" uri="{C3380CC4-5D6E-409C-BE32-E72D297353CC}">
              <c16:uniqueId val="{00000000-AF02-4BF1-B239-B1ED08692E88}"/>
            </c:ext>
          </c:extLst>
        </c:ser>
        <c:ser>
          <c:idx val="1"/>
          <c:order val="1"/>
          <c:tx>
            <c:v>Costo Materia Prima 1</c:v>
          </c:tx>
          <c:spPr>
            <a:ln w="19050" cap="rnd">
              <a:solidFill>
                <a:schemeClr val="accent2"/>
              </a:solidFill>
              <a:round/>
            </a:ln>
            <a:effectLst/>
          </c:spPr>
          <c:marker>
            <c:symbol val="none"/>
          </c:marker>
          <c:xVal>
            <c:numRef>
              <c:f>Sensibilidad!$B$57:$B$67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Sensibilidad!$F$57:$F$67</c:f>
              <c:numCache>
                <c:formatCode>General</c:formatCode>
                <c:ptCount val="11"/>
              </c:numCache>
            </c:numRef>
          </c:yVal>
          <c:smooth val="0"/>
          <c:extLst>
            <c:ext xmlns:c16="http://schemas.microsoft.com/office/drawing/2014/chart" uri="{C3380CC4-5D6E-409C-BE32-E72D297353CC}">
              <c16:uniqueId val="{00000001-AF02-4BF1-B239-B1ED08692E88}"/>
            </c:ext>
          </c:extLst>
        </c:ser>
        <c:ser>
          <c:idx val="2"/>
          <c:order val="2"/>
          <c:tx>
            <c:v>Costo Materia Prima 2</c:v>
          </c:tx>
          <c:spPr>
            <a:ln w="19050" cap="rnd">
              <a:solidFill>
                <a:schemeClr val="accent3"/>
              </a:solidFill>
              <a:round/>
            </a:ln>
            <a:effectLst/>
          </c:spPr>
          <c:marker>
            <c:symbol val="none"/>
          </c:marker>
          <c:xVal>
            <c:numRef>
              <c:f>Sensibilidad!$B$57:$B$67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Sensibilidad!$H$57:$H$67</c:f>
              <c:numCache>
                <c:formatCode>General</c:formatCode>
                <c:ptCount val="11"/>
              </c:numCache>
            </c:numRef>
          </c:yVal>
          <c:smooth val="0"/>
          <c:extLst>
            <c:ext xmlns:c16="http://schemas.microsoft.com/office/drawing/2014/chart" uri="{C3380CC4-5D6E-409C-BE32-E72D297353CC}">
              <c16:uniqueId val="{00000002-AF02-4BF1-B239-B1ED08692E88}"/>
            </c:ext>
          </c:extLst>
        </c:ser>
        <c:ser>
          <c:idx val="3"/>
          <c:order val="3"/>
          <c:tx>
            <c:v>Costo Materia Prima 3</c:v>
          </c:tx>
          <c:spPr>
            <a:ln w="19050" cap="rnd">
              <a:solidFill>
                <a:schemeClr val="accent4"/>
              </a:solidFill>
              <a:round/>
            </a:ln>
            <a:effectLst/>
          </c:spPr>
          <c:marker>
            <c:symbol val="none"/>
          </c:marker>
          <c:xVal>
            <c:numRef>
              <c:f>Sensibilidad!$B$57:$B$67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Sensibilidad!$J$57:$J$67</c:f>
              <c:numCache>
                <c:formatCode>#,##0.00</c:formatCode>
                <c:ptCount val="11"/>
              </c:numCache>
            </c:numRef>
          </c:yVal>
          <c:smooth val="0"/>
          <c:extLst>
            <c:ext xmlns:c16="http://schemas.microsoft.com/office/drawing/2014/chart" uri="{C3380CC4-5D6E-409C-BE32-E72D297353CC}">
              <c16:uniqueId val="{00000003-AF02-4BF1-B239-B1ED08692E88}"/>
            </c:ext>
          </c:extLst>
        </c:ser>
        <c:ser>
          <c:idx val="4"/>
          <c:order val="4"/>
          <c:tx>
            <c:v>Costo Materia Prima 4</c:v>
          </c:tx>
          <c:spPr>
            <a:ln w="19050" cap="rnd">
              <a:solidFill>
                <a:schemeClr val="accent5"/>
              </a:solidFill>
              <a:round/>
            </a:ln>
            <a:effectLst/>
          </c:spPr>
          <c:marker>
            <c:symbol val="none"/>
          </c:marker>
          <c:xVal>
            <c:numRef>
              <c:f>Sensibilidad!$B$57:$B$67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Sensibilidad!$L$57:$L$67</c:f>
              <c:numCache>
                <c:formatCode>#,##0.00</c:formatCode>
                <c:ptCount val="11"/>
              </c:numCache>
            </c:numRef>
          </c:yVal>
          <c:smooth val="0"/>
          <c:extLst>
            <c:ext xmlns:c16="http://schemas.microsoft.com/office/drawing/2014/chart" uri="{C3380CC4-5D6E-409C-BE32-E72D297353CC}">
              <c16:uniqueId val="{00000004-AF02-4BF1-B239-B1ED08692E88}"/>
            </c:ext>
          </c:extLst>
        </c:ser>
        <c:ser>
          <c:idx val="5"/>
          <c:order val="5"/>
          <c:tx>
            <c:v>Costo RRHH</c:v>
          </c:tx>
          <c:spPr>
            <a:ln w="19050" cap="rnd">
              <a:solidFill>
                <a:schemeClr val="accent6"/>
              </a:solidFill>
              <a:round/>
            </a:ln>
            <a:effectLst/>
          </c:spPr>
          <c:marker>
            <c:symbol val="none"/>
          </c:marker>
          <c:xVal>
            <c:numRef>
              <c:f>Sensibilidad!$B$57:$B$67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Sensibilidad!$N$57:$N$67</c:f>
              <c:numCache>
                <c:formatCode>#,##0.00</c:formatCode>
                <c:ptCount val="11"/>
              </c:numCache>
            </c:numRef>
          </c:yVal>
          <c:smooth val="0"/>
          <c:extLst>
            <c:ext xmlns:c16="http://schemas.microsoft.com/office/drawing/2014/chart" uri="{C3380CC4-5D6E-409C-BE32-E72D297353CC}">
              <c16:uniqueId val="{00000005-AF02-4BF1-B239-B1ED08692E88}"/>
            </c:ext>
          </c:extLst>
        </c:ser>
        <c:ser>
          <c:idx val="6"/>
          <c:order val="6"/>
          <c:tx>
            <c:v>Inv Amort Tangibles</c:v>
          </c:tx>
          <c:spPr>
            <a:ln w="19050" cap="rnd">
              <a:solidFill>
                <a:schemeClr val="accent1">
                  <a:lumMod val="60000"/>
                </a:schemeClr>
              </a:solidFill>
              <a:round/>
            </a:ln>
            <a:effectLst/>
          </c:spPr>
          <c:marker>
            <c:symbol val="none"/>
          </c:marker>
          <c:xVal>
            <c:numRef>
              <c:f>Sensibilidad!$B$57:$B$67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Sensibilidad!$P$57:$P$67</c:f>
              <c:numCache>
                <c:formatCode>#,##0.00</c:formatCode>
                <c:ptCount val="11"/>
              </c:numCache>
            </c:numRef>
          </c:yVal>
          <c:smooth val="0"/>
          <c:extLst>
            <c:ext xmlns:c16="http://schemas.microsoft.com/office/drawing/2014/chart" uri="{C3380CC4-5D6E-409C-BE32-E72D297353CC}">
              <c16:uniqueId val="{00000006-AF02-4BF1-B239-B1ED08692E88}"/>
            </c:ext>
          </c:extLst>
        </c:ser>
        <c:dLbls>
          <c:showLegendKey val="0"/>
          <c:showVal val="0"/>
          <c:showCatName val="0"/>
          <c:showSerName val="0"/>
          <c:showPercent val="0"/>
          <c:showBubbleSize val="0"/>
        </c:dLbls>
        <c:axId val="688920335"/>
        <c:axId val="688934479"/>
      </c:scatterChart>
      <c:valAx>
        <c:axId val="688920335"/>
        <c:scaling>
          <c:orientation val="minMax"/>
          <c:max val="0.5"/>
          <c:min val="-0.5"/>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688934479"/>
        <c:crosses val="autoZero"/>
        <c:crossBetween val="midCat"/>
        <c:majorUnit val="5.000000000000001E-2"/>
      </c:valAx>
      <c:valAx>
        <c:axId val="6889344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688920335"/>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Costos Totales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6E2-4CDC-B83A-B2B23FEFFBB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6E2-4CDC-B83A-B2B23FEFFBB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6E2-4CDC-B83A-B2B23FEFFBB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6E2-4CDC-B83A-B2B23FEFFBB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6E2-4CDC-B83A-B2B23FEFFBB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6E2-4CDC-B83A-B2B23FEFFBB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6E2-4CDC-B83A-B2B23FEFFBB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6E2-4CDC-B83A-B2B23FEFFBB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6E2-4CDC-B83A-B2B23FEFFBBF}"/>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C6E2-4CDC-B83A-B2B23FEFFBBF}"/>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C6E2-4CDC-B83A-B2B23FEFFBBF}"/>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C6E2-4CDC-B83A-B2B23FEFFBB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C6E2-4CDC-B83A-B2B23FEFFBB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C6E2-4CDC-B83A-B2B23FEFFB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C6E2-4CDC-B83A-B2B23FEFFBBF}"/>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C6E2-4CDC-B83A-B2B23FEFFBBF}"/>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C6E2-4CDC-B83A-B2B23FEFFBBF}"/>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C6E2-4CDC-B83A-B2B23FEFFBB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Costos!$D$107:$D$124</c:f>
              <c:strCache>
                <c:ptCount val="18"/>
                <c:pt idx="0">
                  <c:v>Mano de Obra Producción (US$)</c:v>
                </c:pt>
                <c:pt idx="1">
                  <c:v>Amortizaciones (US$)</c:v>
                </c:pt>
                <c:pt idx="2">
                  <c:v>Mantenimiento (US$)</c:v>
                </c:pt>
                <c:pt idx="3">
                  <c:v>Seguros (US$)</c:v>
                </c:pt>
                <c:pt idx="4">
                  <c:v>Gastos de Laboratorio (US$)</c:v>
                </c:pt>
                <c:pt idx="5">
                  <c:v>Patentes y Regalías (US$)</c:v>
                </c:pt>
                <c:pt idx="6">
                  <c:v>Mano de Obra Admin (US$)</c:v>
                </c:pt>
                <c:pt idx="7">
                  <c:v>Gastos de Promoción (US$)</c:v>
                </c:pt>
                <c:pt idx="8">
                  <c:v>Otros Costos (Overhead) (US$)</c:v>
                </c:pt>
                <c:pt idx="9">
                  <c:v>Tasas Municipales (US$)</c:v>
                </c:pt>
                <c:pt idx="10">
                  <c:v>ICOSA (US$)</c:v>
                </c:pt>
                <c:pt idx="11">
                  <c:v>Impuesto al Patrimonio (US$)</c:v>
                </c:pt>
                <c:pt idx="12">
                  <c:v>Materias Primas (US$)</c:v>
                </c:pt>
                <c:pt idx="13">
                  <c:v>Materiales e Insumos (US$)</c:v>
                </c:pt>
                <c:pt idx="14">
                  <c:v>Combustibles y lubricantes (US$)</c:v>
                </c:pt>
                <c:pt idx="15">
                  <c:v>Energía Eléctrica (US$)</c:v>
                </c:pt>
                <c:pt idx="16">
                  <c:v>Agua (US$)</c:v>
                </c:pt>
                <c:pt idx="17">
                  <c:v>Envases (US$)</c:v>
                </c:pt>
              </c:strCache>
            </c:strRef>
          </c:cat>
          <c:val>
            <c:numRef>
              <c:f>Costos!$E$107:$E$124</c:f>
              <c:numCache>
                <c:formatCode>#,##0</c:formatCode>
                <c:ptCount val="18"/>
                <c:pt idx="0">
                  <c:v>1355789.25</c:v>
                </c:pt>
                <c:pt idx="1">
                  <c:v>1802586.3454704816</c:v>
                </c:pt>
                <c:pt idx="2">
                  <c:v>1000000</c:v>
                </c:pt>
                <c:pt idx="3">
                  <c:v>170000</c:v>
                </c:pt>
                <c:pt idx="4">
                  <c:v>120000</c:v>
                </c:pt>
                <c:pt idx="5">
                  <c:v>20000</c:v>
                </c:pt>
                <c:pt idx="6">
                  <c:v>376143.75</c:v>
                </c:pt>
                <c:pt idx="7">
                  <c:v>50000</c:v>
                </c:pt>
                <c:pt idx="8">
                  <c:v>400000</c:v>
                </c:pt>
                <c:pt idx="9">
                  <c:v>10000</c:v>
                </c:pt>
                <c:pt idx="10">
                  <c:v>592.59948599999996</c:v>
                </c:pt>
                <c:pt idx="11">
                  <c:v>159124.91439914386</c:v>
                </c:pt>
                <c:pt idx="12">
                  <c:v>2528882.6755796112</c:v>
                </c:pt>
                <c:pt idx="13">
                  <c:v>4992</c:v>
                </c:pt>
                <c:pt idx="14">
                  <c:v>184400</c:v>
                </c:pt>
                <c:pt idx="15">
                  <c:v>321798.83597499999</c:v>
                </c:pt>
                <c:pt idx="16">
                  <c:v>95722.5</c:v>
                </c:pt>
                <c:pt idx="17">
                  <c:v>55000</c:v>
                </c:pt>
              </c:numCache>
            </c:numRef>
          </c:val>
          <c:extLst>
            <c:ext xmlns:c16="http://schemas.microsoft.com/office/drawing/2014/chart" uri="{C3380CC4-5D6E-409C-BE32-E72D297353CC}">
              <c16:uniqueId val="{00000000-1534-456C-B96A-87CF692E7F60}"/>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Costos Totales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E3B-4816-B6F0-9F1A5E52648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E3B-4816-B6F0-9F1A5E52648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E3B-4816-B6F0-9F1A5E52648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E3B-4816-B6F0-9F1A5E52648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E3B-4816-B6F0-9F1A5E52648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E3B-4816-B6F0-9F1A5E52648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E3B-4816-B6F0-9F1A5E52648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E3B-4816-B6F0-9F1A5E52648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E3B-4816-B6F0-9F1A5E52648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3E3B-4816-B6F0-9F1A5E526480}"/>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3E3B-4816-B6F0-9F1A5E526480}"/>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3E3B-4816-B6F0-9F1A5E526480}"/>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3E3B-4816-B6F0-9F1A5E526480}"/>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3E3B-4816-B6F0-9F1A5E52648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3E3B-4816-B6F0-9F1A5E526480}"/>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3E3B-4816-B6F0-9F1A5E526480}"/>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3E3B-4816-B6F0-9F1A5E526480}"/>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3E3B-4816-B6F0-9F1A5E526480}"/>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CB40-4365-87C8-D7E4DD3F3C6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Costos!$AD$107:$AD$125</c:f>
              <c:strCache>
                <c:ptCount val="19"/>
                <c:pt idx="0">
                  <c:v>Mano de Obra Producción (US$)</c:v>
                </c:pt>
                <c:pt idx="1">
                  <c:v>Amortizaciones (US$)</c:v>
                </c:pt>
                <c:pt idx="2">
                  <c:v>Mantenimiento (US$)</c:v>
                </c:pt>
                <c:pt idx="3">
                  <c:v>Seguros (US$)</c:v>
                </c:pt>
                <c:pt idx="4">
                  <c:v>Gastos de Laboratorio (US$)</c:v>
                </c:pt>
                <c:pt idx="5">
                  <c:v>Patentes y Regalías (US$)</c:v>
                </c:pt>
                <c:pt idx="6">
                  <c:v>Mano de Obra Admin (US$)</c:v>
                </c:pt>
                <c:pt idx="7">
                  <c:v>Gastos de Promoción (US$)</c:v>
                </c:pt>
                <c:pt idx="8">
                  <c:v>Otros Costos (Overhead) (US$)</c:v>
                </c:pt>
                <c:pt idx="9">
                  <c:v>Tasas Municipales (US$)</c:v>
                </c:pt>
                <c:pt idx="10">
                  <c:v>ICOSA (US$)</c:v>
                </c:pt>
                <c:pt idx="11">
                  <c:v>Impuesto al Patrimonio (US$)</c:v>
                </c:pt>
                <c:pt idx="12">
                  <c:v>Costos Financieros (US$)</c:v>
                </c:pt>
                <c:pt idx="13">
                  <c:v>Materias Primas (US$)</c:v>
                </c:pt>
                <c:pt idx="14">
                  <c:v>Materiales e Insumos (US$)</c:v>
                </c:pt>
                <c:pt idx="15">
                  <c:v>Combustibles y lubricantes (US$)</c:v>
                </c:pt>
                <c:pt idx="16">
                  <c:v>Energía Eléctrica (US$)</c:v>
                </c:pt>
                <c:pt idx="17">
                  <c:v>Agua (US$)</c:v>
                </c:pt>
                <c:pt idx="18">
                  <c:v>Envases (US$)</c:v>
                </c:pt>
              </c:strCache>
            </c:strRef>
          </c:cat>
          <c:val>
            <c:numRef>
              <c:f>Costos!$AF$107:$AF$125</c:f>
              <c:numCache>
                <c:formatCode>#,##0.00</c:formatCode>
                <c:ptCount val="19"/>
                <c:pt idx="0">
                  <c:v>123.25356818181818</c:v>
                </c:pt>
                <c:pt idx="1">
                  <c:v>177.12259107913471</c:v>
                </c:pt>
                <c:pt idx="2">
                  <c:v>90.909090909090907</c:v>
                </c:pt>
                <c:pt idx="3">
                  <c:v>15.454545454545455</c:v>
                </c:pt>
                <c:pt idx="4">
                  <c:v>10.909090909090908</c:v>
                </c:pt>
                <c:pt idx="5">
                  <c:v>1.8181818181818181</c:v>
                </c:pt>
                <c:pt idx="6">
                  <c:v>34.194886363636364</c:v>
                </c:pt>
                <c:pt idx="7">
                  <c:v>4.5454545454545459</c:v>
                </c:pt>
                <c:pt idx="8">
                  <c:v>36.363636363636367</c:v>
                </c:pt>
                <c:pt idx="9">
                  <c:v>0.90909090909090906</c:v>
                </c:pt>
                <c:pt idx="10">
                  <c:v>5.3872680545454542E-2</c:v>
                </c:pt>
                <c:pt idx="11">
                  <c:v>4.0164584086494441</c:v>
                </c:pt>
                <c:pt idx="12">
                  <c:v>42.59283790909091</c:v>
                </c:pt>
                <c:pt idx="13">
                  <c:v>229.89842505269192</c:v>
                </c:pt>
                <c:pt idx="14">
                  <c:v>0.45381818181818184</c:v>
                </c:pt>
                <c:pt idx="15">
                  <c:v>16.763636363636362</c:v>
                </c:pt>
                <c:pt idx="16">
                  <c:v>29.254439634090907</c:v>
                </c:pt>
                <c:pt idx="17">
                  <c:v>8.7020454545454538</c:v>
                </c:pt>
                <c:pt idx="18">
                  <c:v>5</c:v>
                </c:pt>
              </c:numCache>
            </c:numRef>
          </c:val>
          <c:extLst>
            <c:ext xmlns:c16="http://schemas.microsoft.com/office/drawing/2014/chart" uri="{C3380CC4-5D6E-409C-BE32-E72D297353CC}">
              <c16:uniqueId val="{00000024-3E3B-4816-B6F0-9F1A5E526480}"/>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Punto de Equilibrio - Año 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scatterChart>
        <c:scatterStyle val="lineMarker"/>
        <c:varyColors val="0"/>
        <c:ser>
          <c:idx val="0"/>
          <c:order val="0"/>
          <c:tx>
            <c:v>Costos Fijos</c:v>
          </c:tx>
          <c:spPr>
            <a:ln w="19050" cap="rnd">
              <a:solidFill>
                <a:schemeClr val="accent1"/>
              </a:solidFill>
              <a:round/>
            </a:ln>
            <a:effectLst/>
          </c:spPr>
          <c:marker>
            <c:symbol val="none"/>
          </c:marker>
          <c:xVal>
            <c:numRef>
              <c:f>'Pto Eq'!$C$5:$C$20</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Eq'!$D$5:$D$20</c:f>
              <c:numCache>
                <c:formatCode>#,##0</c:formatCode>
                <c:ptCount val="16"/>
                <c:pt idx="0">
                  <c:v>5512137.9549408369</c:v>
                </c:pt>
                <c:pt idx="1">
                  <c:v>5512137.9549408369</c:v>
                </c:pt>
                <c:pt idx="2">
                  <c:v>5512137.9549408369</c:v>
                </c:pt>
                <c:pt idx="3">
                  <c:v>5512137.9549408369</c:v>
                </c:pt>
                <c:pt idx="4">
                  <c:v>5512137.9549408369</c:v>
                </c:pt>
                <c:pt idx="5">
                  <c:v>5512137.9549408369</c:v>
                </c:pt>
                <c:pt idx="6">
                  <c:v>5512137.9549408369</c:v>
                </c:pt>
                <c:pt idx="7">
                  <c:v>5512137.9549408369</c:v>
                </c:pt>
                <c:pt idx="8">
                  <c:v>5512137.9549408369</c:v>
                </c:pt>
                <c:pt idx="9">
                  <c:v>5512137.9549408369</c:v>
                </c:pt>
                <c:pt idx="10">
                  <c:v>5512137.9549408369</c:v>
                </c:pt>
                <c:pt idx="11">
                  <c:v>5512137.9549408369</c:v>
                </c:pt>
                <c:pt idx="12">
                  <c:v>5512137.9549408369</c:v>
                </c:pt>
                <c:pt idx="13">
                  <c:v>5512137.9549408369</c:v>
                </c:pt>
                <c:pt idx="14">
                  <c:v>5512137.9549408369</c:v>
                </c:pt>
                <c:pt idx="15">
                  <c:v>5512137.9549408369</c:v>
                </c:pt>
              </c:numCache>
            </c:numRef>
          </c:yVal>
          <c:smooth val="0"/>
          <c:extLst>
            <c:ext xmlns:c16="http://schemas.microsoft.com/office/drawing/2014/chart" uri="{C3380CC4-5D6E-409C-BE32-E72D297353CC}">
              <c16:uniqueId val="{00000000-50AB-4346-9FEE-2240532E30C1}"/>
            </c:ext>
          </c:extLst>
        </c:ser>
        <c:ser>
          <c:idx val="1"/>
          <c:order val="1"/>
          <c:tx>
            <c:v>Costos Variables</c:v>
          </c:tx>
          <c:spPr>
            <a:ln w="19050" cap="rnd">
              <a:solidFill>
                <a:schemeClr val="accent2"/>
              </a:solidFill>
              <a:round/>
            </a:ln>
            <a:effectLst/>
          </c:spPr>
          <c:marker>
            <c:symbol val="none"/>
          </c:marker>
          <c:xVal>
            <c:numRef>
              <c:f>'Pto Eq'!$C$5:$C$20</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Eq'!$E$5:$E$20</c:f>
              <c:numCache>
                <c:formatCode>#,##0</c:formatCode>
                <c:ptCount val="16"/>
                <c:pt idx="0">
                  <c:v>0</c:v>
                </c:pt>
                <c:pt idx="1">
                  <c:v>229775.35359844143</c:v>
                </c:pt>
                <c:pt idx="2">
                  <c:v>459550.70719688287</c:v>
                </c:pt>
                <c:pt idx="3">
                  <c:v>689326.06079532427</c:v>
                </c:pt>
                <c:pt idx="4">
                  <c:v>919101.41439376574</c:v>
                </c:pt>
                <c:pt idx="5">
                  <c:v>1148876.7679922071</c:v>
                </c:pt>
                <c:pt idx="6">
                  <c:v>1378652.1215906485</c:v>
                </c:pt>
                <c:pt idx="7">
                  <c:v>1608427.47518909</c:v>
                </c:pt>
                <c:pt idx="8">
                  <c:v>1838202.8287875315</c:v>
                </c:pt>
                <c:pt idx="9">
                  <c:v>2067978.1823859729</c:v>
                </c:pt>
                <c:pt idx="10">
                  <c:v>2297753.5359844142</c:v>
                </c:pt>
                <c:pt idx="11">
                  <c:v>2527528.8895828556</c:v>
                </c:pt>
                <c:pt idx="12">
                  <c:v>2757304.2431812971</c:v>
                </c:pt>
                <c:pt idx="13">
                  <c:v>2987079.5967797386</c:v>
                </c:pt>
                <c:pt idx="14">
                  <c:v>3216854.95037818</c:v>
                </c:pt>
                <c:pt idx="15">
                  <c:v>3446630.3039766215</c:v>
                </c:pt>
              </c:numCache>
            </c:numRef>
          </c:yVal>
          <c:smooth val="0"/>
          <c:extLst>
            <c:ext xmlns:c16="http://schemas.microsoft.com/office/drawing/2014/chart" uri="{C3380CC4-5D6E-409C-BE32-E72D297353CC}">
              <c16:uniqueId val="{00000002-50AB-4346-9FEE-2240532E30C1}"/>
            </c:ext>
          </c:extLst>
        </c:ser>
        <c:ser>
          <c:idx val="2"/>
          <c:order val="2"/>
          <c:tx>
            <c:v>Costos Totales</c:v>
          </c:tx>
          <c:spPr>
            <a:ln w="19050" cap="rnd">
              <a:solidFill>
                <a:schemeClr val="accent3"/>
              </a:solidFill>
              <a:round/>
            </a:ln>
            <a:effectLst/>
          </c:spPr>
          <c:marker>
            <c:symbol val="none"/>
          </c:marker>
          <c:xVal>
            <c:numRef>
              <c:f>'Pto Eq'!$C$5:$C$20</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Eq'!$F$5:$F$20</c:f>
              <c:numCache>
                <c:formatCode>#,##0</c:formatCode>
                <c:ptCount val="16"/>
                <c:pt idx="0">
                  <c:v>5512137.9549408369</c:v>
                </c:pt>
                <c:pt idx="1">
                  <c:v>5741913.3085392779</c:v>
                </c:pt>
                <c:pt idx="2">
                  <c:v>5971688.6621377198</c:v>
                </c:pt>
                <c:pt idx="3">
                  <c:v>6201464.0157361608</c:v>
                </c:pt>
                <c:pt idx="4">
                  <c:v>6431239.3693346027</c:v>
                </c:pt>
                <c:pt idx="5">
                  <c:v>6661014.7229330437</c:v>
                </c:pt>
                <c:pt idx="6">
                  <c:v>6890790.0765314857</c:v>
                </c:pt>
                <c:pt idx="7">
                  <c:v>7120565.4301299267</c:v>
                </c:pt>
                <c:pt idx="8">
                  <c:v>7350340.7837283686</c:v>
                </c:pt>
                <c:pt idx="9">
                  <c:v>7580116.1373268096</c:v>
                </c:pt>
                <c:pt idx="10">
                  <c:v>7809891.4909252506</c:v>
                </c:pt>
                <c:pt idx="11">
                  <c:v>8039666.8445236925</c:v>
                </c:pt>
                <c:pt idx="12">
                  <c:v>8269442.1981221344</c:v>
                </c:pt>
                <c:pt idx="13">
                  <c:v>8499217.5517205745</c:v>
                </c:pt>
                <c:pt idx="14">
                  <c:v>8728992.9053190164</c:v>
                </c:pt>
                <c:pt idx="15">
                  <c:v>8958768.2589174584</c:v>
                </c:pt>
              </c:numCache>
            </c:numRef>
          </c:yVal>
          <c:smooth val="0"/>
          <c:extLst>
            <c:ext xmlns:c16="http://schemas.microsoft.com/office/drawing/2014/chart" uri="{C3380CC4-5D6E-409C-BE32-E72D297353CC}">
              <c16:uniqueId val="{00000003-50AB-4346-9FEE-2240532E30C1}"/>
            </c:ext>
          </c:extLst>
        </c:ser>
        <c:ser>
          <c:idx val="3"/>
          <c:order val="3"/>
          <c:tx>
            <c:v>Ingresos por Ventas</c:v>
          </c:tx>
          <c:spPr>
            <a:ln w="19050" cap="rnd">
              <a:solidFill>
                <a:schemeClr val="accent4"/>
              </a:solidFill>
              <a:round/>
            </a:ln>
            <a:effectLst/>
          </c:spPr>
          <c:marker>
            <c:symbol val="none"/>
          </c:marker>
          <c:xVal>
            <c:numRef>
              <c:f>'Pto Eq'!$C$5:$C$20</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Eq'!$G$5:$G$20</c:f>
              <c:numCache>
                <c:formatCode>#,##0</c:formatCode>
                <c:ptCount val="16"/>
                <c:pt idx="0">
                  <c:v>0</c:v>
                </c:pt>
                <c:pt idx="1">
                  <c:v>900000</c:v>
                </c:pt>
                <c:pt idx="2">
                  <c:v>1800000</c:v>
                </c:pt>
                <c:pt idx="3">
                  <c:v>2700000</c:v>
                </c:pt>
                <c:pt idx="4">
                  <c:v>3600000</c:v>
                </c:pt>
                <c:pt idx="5">
                  <c:v>4500000</c:v>
                </c:pt>
                <c:pt idx="6">
                  <c:v>5400000</c:v>
                </c:pt>
                <c:pt idx="7">
                  <c:v>6300000</c:v>
                </c:pt>
                <c:pt idx="8">
                  <c:v>7200000</c:v>
                </c:pt>
                <c:pt idx="9">
                  <c:v>8100000</c:v>
                </c:pt>
                <c:pt idx="10">
                  <c:v>9000000</c:v>
                </c:pt>
                <c:pt idx="11">
                  <c:v>9900000</c:v>
                </c:pt>
                <c:pt idx="12">
                  <c:v>10800000</c:v>
                </c:pt>
                <c:pt idx="13">
                  <c:v>11700000</c:v>
                </c:pt>
                <c:pt idx="14">
                  <c:v>12600000</c:v>
                </c:pt>
                <c:pt idx="15">
                  <c:v>13500000</c:v>
                </c:pt>
              </c:numCache>
            </c:numRef>
          </c:yVal>
          <c:smooth val="0"/>
          <c:extLst>
            <c:ext xmlns:c16="http://schemas.microsoft.com/office/drawing/2014/chart" uri="{C3380CC4-5D6E-409C-BE32-E72D297353CC}">
              <c16:uniqueId val="{00000004-50AB-4346-9FEE-2240532E30C1}"/>
            </c:ext>
          </c:extLst>
        </c:ser>
        <c:dLbls>
          <c:showLegendKey val="0"/>
          <c:showVal val="0"/>
          <c:showCatName val="0"/>
          <c:showSerName val="0"/>
          <c:showPercent val="0"/>
          <c:showBubbleSize val="0"/>
        </c:dLbls>
        <c:axId val="2062511167"/>
        <c:axId val="2062507423"/>
      </c:scatterChart>
      <c:valAx>
        <c:axId val="206251116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07423"/>
        <c:crosses val="autoZero"/>
        <c:crossBetween val="midCat"/>
        <c:majorUnit val="1000"/>
        <c:minorUnit val="500"/>
      </c:valAx>
      <c:valAx>
        <c:axId val="20625074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11167"/>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Punto de Equilibrio - Año 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scatterChart>
        <c:scatterStyle val="lineMarker"/>
        <c:varyColors val="0"/>
        <c:ser>
          <c:idx val="0"/>
          <c:order val="0"/>
          <c:tx>
            <c:v>Costos Fijos</c:v>
          </c:tx>
          <c:spPr>
            <a:ln w="19050" cap="rnd">
              <a:solidFill>
                <a:schemeClr val="accent1"/>
              </a:solidFill>
              <a:round/>
            </a:ln>
            <a:effectLst/>
          </c:spPr>
          <c:marker>
            <c:symbol val="none"/>
          </c:marker>
          <c:xVal>
            <c:numRef>
              <c:f>'Pto Eq'!$C$29:$C$44</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Eq'!$D$29:$D$44</c:f>
              <c:numCache>
                <c:formatCode>#,##0</c:formatCode>
                <c:ptCount val="16"/>
                <c:pt idx="0">
                  <c:v>5464236.8593556257</c:v>
                </c:pt>
                <c:pt idx="1">
                  <c:v>5464236.8593556257</c:v>
                </c:pt>
                <c:pt idx="2">
                  <c:v>5464236.8593556257</c:v>
                </c:pt>
                <c:pt idx="3">
                  <c:v>5464236.8593556257</c:v>
                </c:pt>
                <c:pt idx="4">
                  <c:v>5464236.8593556257</c:v>
                </c:pt>
                <c:pt idx="5">
                  <c:v>5464236.8593556257</c:v>
                </c:pt>
                <c:pt idx="6">
                  <c:v>5464236.8593556257</c:v>
                </c:pt>
                <c:pt idx="7">
                  <c:v>5464236.8593556257</c:v>
                </c:pt>
                <c:pt idx="8">
                  <c:v>5464236.8593556257</c:v>
                </c:pt>
                <c:pt idx="9">
                  <c:v>5464236.8593556257</c:v>
                </c:pt>
                <c:pt idx="10">
                  <c:v>5464236.8593556257</c:v>
                </c:pt>
                <c:pt idx="11">
                  <c:v>5464236.8593556257</c:v>
                </c:pt>
                <c:pt idx="12">
                  <c:v>5464236.8593556257</c:v>
                </c:pt>
                <c:pt idx="13">
                  <c:v>5464236.8593556257</c:v>
                </c:pt>
                <c:pt idx="14">
                  <c:v>5464236.8593556257</c:v>
                </c:pt>
                <c:pt idx="15">
                  <c:v>5464236.8593556257</c:v>
                </c:pt>
              </c:numCache>
            </c:numRef>
          </c:yVal>
          <c:smooth val="0"/>
          <c:extLst>
            <c:ext xmlns:c16="http://schemas.microsoft.com/office/drawing/2014/chart" uri="{C3380CC4-5D6E-409C-BE32-E72D297353CC}">
              <c16:uniqueId val="{00000000-3ED0-417A-91CD-D7D7245BC79F}"/>
            </c:ext>
          </c:extLst>
        </c:ser>
        <c:ser>
          <c:idx val="1"/>
          <c:order val="1"/>
          <c:tx>
            <c:v>Costos Variables</c:v>
          </c:tx>
          <c:spPr>
            <a:ln w="19050" cap="rnd">
              <a:solidFill>
                <a:schemeClr val="accent2"/>
              </a:solidFill>
              <a:round/>
            </a:ln>
            <a:effectLst/>
          </c:spPr>
          <c:marker>
            <c:symbol val="none"/>
          </c:marker>
          <c:xVal>
            <c:numRef>
              <c:f>'Pto Eq'!$C$29:$C$44</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Eq'!$E$29:$E$44</c:f>
              <c:numCache>
                <c:formatCode>#,##0</c:formatCode>
                <c:ptCount val="16"/>
                <c:pt idx="0">
                  <c:v>0</c:v>
                </c:pt>
                <c:pt idx="1">
                  <c:v>290072.36468678288</c:v>
                </c:pt>
                <c:pt idx="2">
                  <c:v>580144.72937356576</c:v>
                </c:pt>
                <c:pt idx="3">
                  <c:v>870217.09406034858</c:v>
                </c:pt>
                <c:pt idx="4">
                  <c:v>1160289.4587471315</c:v>
                </c:pt>
                <c:pt idx="5">
                  <c:v>1450361.8234339142</c:v>
                </c:pt>
                <c:pt idx="6">
                  <c:v>1740434.1881206972</c:v>
                </c:pt>
                <c:pt idx="7">
                  <c:v>2030506.5528074801</c:v>
                </c:pt>
                <c:pt idx="8">
                  <c:v>2320578.917494263</c:v>
                </c:pt>
                <c:pt idx="9">
                  <c:v>2610651.282181046</c:v>
                </c:pt>
                <c:pt idx="10">
                  <c:v>2900723.6468678284</c:v>
                </c:pt>
                <c:pt idx="11">
                  <c:v>3190796.0115546114</c:v>
                </c:pt>
                <c:pt idx="12">
                  <c:v>3480868.3762413943</c:v>
                </c:pt>
                <c:pt idx="13">
                  <c:v>3770940.7409281773</c:v>
                </c:pt>
                <c:pt idx="14">
                  <c:v>4061013.1056149602</c:v>
                </c:pt>
                <c:pt idx="15">
                  <c:v>4351085.4703017427</c:v>
                </c:pt>
              </c:numCache>
            </c:numRef>
          </c:yVal>
          <c:smooth val="0"/>
          <c:extLst>
            <c:ext xmlns:c16="http://schemas.microsoft.com/office/drawing/2014/chart" uri="{C3380CC4-5D6E-409C-BE32-E72D297353CC}">
              <c16:uniqueId val="{00000001-3ED0-417A-91CD-D7D7245BC79F}"/>
            </c:ext>
          </c:extLst>
        </c:ser>
        <c:ser>
          <c:idx val="2"/>
          <c:order val="2"/>
          <c:tx>
            <c:v>Costos Totales</c:v>
          </c:tx>
          <c:spPr>
            <a:ln w="19050" cap="rnd">
              <a:solidFill>
                <a:schemeClr val="accent3"/>
              </a:solidFill>
              <a:round/>
            </a:ln>
            <a:effectLst/>
          </c:spPr>
          <c:marker>
            <c:symbol val="none"/>
          </c:marker>
          <c:xVal>
            <c:numRef>
              <c:f>'Pto Eq'!$C$29:$C$44</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Eq'!$F$29:$F$44</c:f>
              <c:numCache>
                <c:formatCode>#,##0</c:formatCode>
                <c:ptCount val="16"/>
                <c:pt idx="0">
                  <c:v>5464236.8593556257</c:v>
                </c:pt>
                <c:pt idx="1">
                  <c:v>5754309.2240424082</c:v>
                </c:pt>
                <c:pt idx="2">
                  <c:v>6044381.5887291916</c:v>
                </c:pt>
                <c:pt idx="3">
                  <c:v>6334453.953415974</c:v>
                </c:pt>
                <c:pt idx="4">
                  <c:v>6624526.3181027574</c:v>
                </c:pt>
                <c:pt idx="5">
                  <c:v>6914598.6827895399</c:v>
                </c:pt>
                <c:pt idx="6">
                  <c:v>7204671.0474763233</c:v>
                </c:pt>
                <c:pt idx="7">
                  <c:v>7494743.4121631058</c:v>
                </c:pt>
                <c:pt idx="8">
                  <c:v>7784815.7768498883</c:v>
                </c:pt>
                <c:pt idx="9">
                  <c:v>8074888.1415366717</c:v>
                </c:pt>
                <c:pt idx="10">
                  <c:v>8364960.5062234541</c:v>
                </c:pt>
                <c:pt idx="11">
                  <c:v>8655032.8709102366</c:v>
                </c:pt>
                <c:pt idx="12">
                  <c:v>8945105.23559702</c:v>
                </c:pt>
                <c:pt idx="13">
                  <c:v>9235177.6002838034</c:v>
                </c:pt>
                <c:pt idx="14">
                  <c:v>9525249.964970585</c:v>
                </c:pt>
                <c:pt idx="15">
                  <c:v>9815322.3296573684</c:v>
                </c:pt>
              </c:numCache>
            </c:numRef>
          </c:yVal>
          <c:smooth val="0"/>
          <c:extLst>
            <c:ext xmlns:c16="http://schemas.microsoft.com/office/drawing/2014/chart" uri="{C3380CC4-5D6E-409C-BE32-E72D297353CC}">
              <c16:uniqueId val="{00000002-3ED0-417A-91CD-D7D7245BC79F}"/>
            </c:ext>
          </c:extLst>
        </c:ser>
        <c:ser>
          <c:idx val="3"/>
          <c:order val="3"/>
          <c:tx>
            <c:v>Ingresos por Ventas</c:v>
          </c:tx>
          <c:spPr>
            <a:ln w="19050" cap="rnd">
              <a:solidFill>
                <a:schemeClr val="accent4"/>
              </a:solidFill>
              <a:round/>
            </a:ln>
            <a:effectLst/>
          </c:spPr>
          <c:marker>
            <c:symbol val="none"/>
          </c:marker>
          <c:xVal>
            <c:numRef>
              <c:f>'Pto Eq'!$C$29:$C$44</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Eq'!$G$29:$G$44</c:f>
              <c:numCache>
                <c:formatCode>#,##0</c:formatCode>
                <c:ptCount val="16"/>
                <c:pt idx="0">
                  <c:v>0</c:v>
                </c:pt>
                <c:pt idx="1">
                  <c:v>900000</c:v>
                </c:pt>
                <c:pt idx="2">
                  <c:v>1800000</c:v>
                </c:pt>
                <c:pt idx="3">
                  <c:v>2700000</c:v>
                </c:pt>
                <c:pt idx="4">
                  <c:v>3600000</c:v>
                </c:pt>
                <c:pt idx="5">
                  <c:v>4500000</c:v>
                </c:pt>
                <c:pt idx="6">
                  <c:v>5400000</c:v>
                </c:pt>
                <c:pt idx="7">
                  <c:v>6300000</c:v>
                </c:pt>
                <c:pt idx="8">
                  <c:v>7200000</c:v>
                </c:pt>
                <c:pt idx="9">
                  <c:v>8100000</c:v>
                </c:pt>
                <c:pt idx="10">
                  <c:v>9000000</c:v>
                </c:pt>
                <c:pt idx="11">
                  <c:v>9900000</c:v>
                </c:pt>
                <c:pt idx="12">
                  <c:v>10800000</c:v>
                </c:pt>
                <c:pt idx="13">
                  <c:v>11700000</c:v>
                </c:pt>
                <c:pt idx="14">
                  <c:v>12600000</c:v>
                </c:pt>
                <c:pt idx="15">
                  <c:v>13500000</c:v>
                </c:pt>
              </c:numCache>
            </c:numRef>
          </c:yVal>
          <c:smooth val="0"/>
          <c:extLst>
            <c:ext xmlns:c16="http://schemas.microsoft.com/office/drawing/2014/chart" uri="{C3380CC4-5D6E-409C-BE32-E72D297353CC}">
              <c16:uniqueId val="{00000003-3ED0-417A-91CD-D7D7245BC79F}"/>
            </c:ext>
          </c:extLst>
        </c:ser>
        <c:dLbls>
          <c:showLegendKey val="0"/>
          <c:showVal val="0"/>
          <c:showCatName val="0"/>
          <c:showSerName val="0"/>
          <c:showPercent val="0"/>
          <c:showBubbleSize val="0"/>
        </c:dLbls>
        <c:axId val="2062511167"/>
        <c:axId val="2062507423"/>
      </c:scatterChart>
      <c:valAx>
        <c:axId val="206251116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07423"/>
        <c:crosses val="autoZero"/>
        <c:crossBetween val="midCat"/>
        <c:majorUnit val="1000"/>
        <c:minorUnit val="500"/>
      </c:valAx>
      <c:valAx>
        <c:axId val="20625074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11167"/>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Punto de Equilibrio - Año 10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scatterChart>
        <c:scatterStyle val="lineMarker"/>
        <c:varyColors val="0"/>
        <c:ser>
          <c:idx val="0"/>
          <c:order val="0"/>
          <c:tx>
            <c:v>Costos Fijos</c:v>
          </c:tx>
          <c:spPr>
            <a:ln w="19050" cap="rnd">
              <a:solidFill>
                <a:schemeClr val="accent1"/>
              </a:solidFill>
              <a:round/>
            </a:ln>
            <a:effectLst/>
          </c:spPr>
          <c:marker>
            <c:symbol val="none"/>
          </c:marker>
          <c:xVal>
            <c:numRef>
              <c:f>'Pto Eq'!$C$53:$C$68</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Eq'!$D$53:$D$68</c:f>
              <c:numCache>
                <c:formatCode>#,##0</c:formatCode>
                <c:ptCount val="16"/>
                <c:pt idx="0">
                  <c:v>4280360.8096624054</c:v>
                </c:pt>
                <c:pt idx="1">
                  <c:v>4280360.8096624054</c:v>
                </c:pt>
                <c:pt idx="2">
                  <c:v>4280360.8096624054</c:v>
                </c:pt>
                <c:pt idx="3">
                  <c:v>4280360.8096624054</c:v>
                </c:pt>
                <c:pt idx="4">
                  <c:v>4280360.8096624054</c:v>
                </c:pt>
                <c:pt idx="5">
                  <c:v>4280360.8096624054</c:v>
                </c:pt>
                <c:pt idx="6">
                  <c:v>4280360.8096624054</c:v>
                </c:pt>
                <c:pt idx="7">
                  <c:v>4280360.8096624054</c:v>
                </c:pt>
                <c:pt idx="8">
                  <c:v>4280360.8096624054</c:v>
                </c:pt>
                <c:pt idx="9">
                  <c:v>4280360.8096624054</c:v>
                </c:pt>
                <c:pt idx="10">
                  <c:v>4280360.8096624054</c:v>
                </c:pt>
                <c:pt idx="11">
                  <c:v>4280360.8096624054</c:v>
                </c:pt>
                <c:pt idx="12">
                  <c:v>4280360.8096624054</c:v>
                </c:pt>
                <c:pt idx="13">
                  <c:v>4280360.8096624054</c:v>
                </c:pt>
                <c:pt idx="14">
                  <c:v>4280360.8096624054</c:v>
                </c:pt>
                <c:pt idx="15">
                  <c:v>4280360.8096624054</c:v>
                </c:pt>
              </c:numCache>
            </c:numRef>
          </c:yVal>
          <c:smooth val="0"/>
          <c:extLst>
            <c:ext xmlns:c16="http://schemas.microsoft.com/office/drawing/2014/chart" uri="{C3380CC4-5D6E-409C-BE32-E72D297353CC}">
              <c16:uniqueId val="{00000000-4999-4C32-A166-290CB40D8330}"/>
            </c:ext>
          </c:extLst>
        </c:ser>
        <c:ser>
          <c:idx val="1"/>
          <c:order val="1"/>
          <c:tx>
            <c:v>Costos Variables</c:v>
          </c:tx>
          <c:spPr>
            <a:ln w="19050" cap="rnd">
              <a:solidFill>
                <a:schemeClr val="accent2"/>
              </a:solidFill>
              <a:round/>
            </a:ln>
            <a:effectLst/>
          </c:spPr>
          <c:marker>
            <c:symbol val="none"/>
          </c:marker>
          <c:xVal>
            <c:numRef>
              <c:f>'Pto Eq'!$C$53:$C$68</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Eq'!$E$53:$E$68</c:f>
              <c:numCache>
                <c:formatCode>#,##0</c:formatCode>
                <c:ptCount val="16"/>
                <c:pt idx="0">
                  <c:v>0</c:v>
                </c:pt>
                <c:pt idx="1">
                  <c:v>434677.72921031475</c:v>
                </c:pt>
                <c:pt idx="2">
                  <c:v>869355.4584206295</c:v>
                </c:pt>
                <c:pt idx="3">
                  <c:v>1304033.1876309442</c:v>
                </c:pt>
                <c:pt idx="4">
                  <c:v>1738710.916841259</c:v>
                </c:pt>
                <c:pt idx="5">
                  <c:v>2173388.6460515736</c:v>
                </c:pt>
                <c:pt idx="6">
                  <c:v>2608066.3752618884</c:v>
                </c:pt>
                <c:pt idx="7">
                  <c:v>3042744.1044722032</c:v>
                </c:pt>
                <c:pt idx="8">
                  <c:v>3477421.833682518</c:v>
                </c:pt>
                <c:pt idx="9">
                  <c:v>3912099.5628928328</c:v>
                </c:pt>
                <c:pt idx="10">
                  <c:v>4346777.2921031471</c:v>
                </c:pt>
                <c:pt idx="11">
                  <c:v>4781455.0213134624</c:v>
                </c:pt>
                <c:pt idx="12">
                  <c:v>5216132.7505237767</c:v>
                </c:pt>
                <c:pt idx="13">
                  <c:v>5650810.479734092</c:v>
                </c:pt>
                <c:pt idx="14">
                  <c:v>6085488.2089444064</c:v>
                </c:pt>
                <c:pt idx="15">
                  <c:v>6520165.9381547207</c:v>
                </c:pt>
              </c:numCache>
            </c:numRef>
          </c:yVal>
          <c:smooth val="0"/>
          <c:extLst>
            <c:ext xmlns:c16="http://schemas.microsoft.com/office/drawing/2014/chart" uri="{C3380CC4-5D6E-409C-BE32-E72D297353CC}">
              <c16:uniqueId val="{00000001-4999-4C32-A166-290CB40D8330}"/>
            </c:ext>
          </c:extLst>
        </c:ser>
        <c:ser>
          <c:idx val="2"/>
          <c:order val="2"/>
          <c:tx>
            <c:v>Costos Totales</c:v>
          </c:tx>
          <c:spPr>
            <a:ln w="19050" cap="rnd">
              <a:solidFill>
                <a:schemeClr val="accent3"/>
              </a:solidFill>
              <a:round/>
            </a:ln>
            <a:effectLst/>
          </c:spPr>
          <c:marker>
            <c:symbol val="none"/>
          </c:marker>
          <c:xVal>
            <c:numRef>
              <c:f>'Pto Eq'!$C$53:$C$68</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Eq'!$F$53:$F$68</c:f>
              <c:numCache>
                <c:formatCode>#,##0</c:formatCode>
                <c:ptCount val="16"/>
                <c:pt idx="0">
                  <c:v>4280360.8096624054</c:v>
                </c:pt>
                <c:pt idx="1">
                  <c:v>4715038.5388727197</c:v>
                </c:pt>
                <c:pt idx="2">
                  <c:v>5149716.268083035</c:v>
                </c:pt>
                <c:pt idx="3">
                  <c:v>5584393.9972933494</c:v>
                </c:pt>
                <c:pt idx="4">
                  <c:v>6019071.7265036646</c:v>
                </c:pt>
                <c:pt idx="5">
                  <c:v>6453749.455713979</c:v>
                </c:pt>
                <c:pt idx="6">
                  <c:v>6888427.1849242933</c:v>
                </c:pt>
                <c:pt idx="7">
                  <c:v>7323104.9141346086</c:v>
                </c:pt>
                <c:pt idx="8">
                  <c:v>7757782.6433449239</c:v>
                </c:pt>
                <c:pt idx="9">
                  <c:v>8192460.3725552382</c:v>
                </c:pt>
                <c:pt idx="10">
                  <c:v>8627138.1017655525</c:v>
                </c:pt>
                <c:pt idx="11">
                  <c:v>9061815.8309758678</c:v>
                </c:pt>
                <c:pt idx="12">
                  <c:v>9496493.5601861812</c:v>
                </c:pt>
                <c:pt idx="13">
                  <c:v>9931171.2893964984</c:v>
                </c:pt>
                <c:pt idx="14">
                  <c:v>10365849.018606812</c:v>
                </c:pt>
                <c:pt idx="15">
                  <c:v>10800526.747817125</c:v>
                </c:pt>
              </c:numCache>
            </c:numRef>
          </c:yVal>
          <c:smooth val="0"/>
          <c:extLst>
            <c:ext xmlns:c16="http://schemas.microsoft.com/office/drawing/2014/chart" uri="{C3380CC4-5D6E-409C-BE32-E72D297353CC}">
              <c16:uniqueId val="{00000002-4999-4C32-A166-290CB40D8330}"/>
            </c:ext>
          </c:extLst>
        </c:ser>
        <c:ser>
          <c:idx val="3"/>
          <c:order val="3"/>
          <c:tx>
            <c:v>Ingresos por Ventas</c:v>
          </c:tx>
          <c:spPr>
            <a:ln w="19050" cap="rnd">
              <a:solidFill>
                <a:schemeClr val="accent4"/>
              </a:solidFill>
              <a:round/>
            </a:ln>
            <a:effectLst/>
          </c:spPr>
          <c:marker>
            <c:symbol val="none"/>
          </c:marker>
          <c:xVal>
            <c:numRef>
              <c:f>'Pto Eq'!$C$53:$C$68</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Eq'!$G$53:$G$68</c:f>
              <c:numCache>
                <c:formatCode>#,##0</c:formatCode>
                <c:ptCount val="16"/>
                <c:pt idx="0">
                  <c:v>0</c:v>
                </c:pt>
                <c:pt idx="1">
                  <c:v>900000</c:v>
                </c:pt>
                <c:pt idx="2">
                  <c:v>1800000</c:v>
                </c:pt>
                <c:pt idx="3">
                  <c:v>2700000</c:v>
                </c:pt>
                <c:pt idx="4">
                  <c:v>3600000</c:v>
                </c:pt>
                <c:pt idx="5">
                  <c:v>4500000</c:v>
                </c:pt>
                <c:pt idx="6">
                  <c:v>5400000</c:v>
                </c:pt>
                <c:pt idx="7">
                  <c:v>6300000</c:v>
                </c:pt>
                <c:pt idx="8">
                  <c:v>7200000</c:v>
                </c:pt>
                <c:pt idx="9">
                  <c:v>8100000</c:v>
                </c:pt>
                <c:pt idx="10">
                  <c:v>9000000</c:v>
                </c:pt>
                <c:pt idx="11">
                  <c:v>9900000</c:v>
                </c:pt>
                <c:pt idx="12">
                  <c:v>10800000</c:v>
                </c:pt>
                <c:pt idx="13">
                  <c:v>11700000</c:v>
                </c:pt>
                <c:pt idx="14">
                  <c:v>12600000</c:v>
                </c:pt>
                <c:pt idx="15">
                  <c:v>13500000</c:v>
                </c:pt>
              </c:numCache>
            </c:numRef>
          </c:yVal>
          <c:smooth val="0"/>
          <c:extLst>
            <c:ext xmlns:c16="http://schemas.microsoft.com/office/drawing/2014/chart" uri="{C3380CC4-5D6E-409C-BE32-E72D297353CC}">
              <c16:uniqueId val="{00000003-4999-4C32-A166-290CB40D8330}"/>
            </c:ext>
          </c:extLst>
        </c:ser>
        <c:dLbls>
          <c:showLegendKey val="0"/>
          <c:showVal val="0"/>
          <c:showCatName val="0"/>
          <c:showSerName val="0"/>
          <c:showPercent val="0"/>
          <c:showBubbleSize val="0"/>
        </c:dLbls>
        <c:axId val="2062511167"/>
        <c:axId val="2062507423"/>
      </c:scatterChart>
      <c:valAx>
        <c:axId val="206251116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07423"/>
        <c:crosses val="autoZero"/>
        <c:crossBetween val="midCat"/>
        <c:majorUnit val="1000"/>
        <c:minorUnit val="500"/>
      </c:valAx>
      <c:valAx>
        <c:axId val="20625074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11167"/>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Punto de Equilibrio - Año 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scatterChart>
        <c:scatterStyle val="lineMarker"/>
        <c:varyColors val="0"/>
        <c:ser>
          <c:idx val="0"/>
          <c:order val="0"/>
          <c:tx>
            <c:v>CF</c:v>
          </c:tx>
          <c:spPr>
            <a:ln w="19050" cap="rnd">
              <a:solidFill>
                <a:schemeClr val="accent1"/>
              </a:solidFill>
              <a:round/>
            </a:ln>
            <a:effectLst/>
          </c:spPr>
          <c:marker>
            <c:symbol val="none"/>
          </c:marker>
          <c:xVal>
            <c:numRef>
              <c:f>'Pto Eq'!$Y$5:$Y$20</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Eq'!$Z$5:$Z$20</c:f>
              <c:numCache>
                <c:formatCode>#,##0</c:formatCode>
                <c:ptCount val="16"/>
                <c:pt idx="0">
                  <c:v>6137353.4900708366</c:v>
                </c:pt>
                <c:pt idx="1">
                  <c:v>6137353.4900708366</c:v>
                </c:pt>
                <c:pt idx="2">
                  <c:v>6137353.4900708366</c:v>
                </c:pt>
                <c:pt idx="3">
                  <c:v>6137353.4900708366</c:v>
                </c:pt>
                <c:pt idx="4">
                  <c:v>6137353.4900708366</c:v>
                </c:pt>
                <c:pt idx="5">
                  <c:v>6137353.4900708366</c:v>
                </c:pt>
                <c:pt idx="6">
                  <c:v>6137353.4900708366</c:v>
                </c:pt>
                <c:pt idx="7">
                  <c:v>6137353.4900708366</c:v>
                </c:pt>
                <c:pt idx="8">
                  <c:v>6137353.4900708366</c:v>
                </c:pt>
                <c:pt idx="9">
                  <c:v>6137353.4900708366</c:v>
                </c:pt>
                <c:pt idx="10">
                  <c:v>6137353.4900708366</c:v>
                </c:pt>
                <c:pt idx="11">
                  <c:v>6137353.4900708366</c:v>
                </c:pt>
                <c:pt idx="12">
                  <c:v>6137353.4900708366</c:v>
                </c:pt>
                <c:pt idx="13">
                  <c:v>6137353.4900708366</c:v>
                </c:pt>
                <c:pt idx="14">
                  <c:v>6137353.4900708366</c:v>
                </c:pt>
                <c:pt idx="15">
                  <c:v>6137353.4900708366</c:v>
                </c:pt>
              </c:numCache>
            </c:numRef>
          </c:yVal>
          <c:smooth val="0"/>
          <c:extLst>
            <c:ext xmlns:c16="http://schemas.microsoft.com/office/drawing/2014/chart" uri="{C3380CC4-5D6E-409C-BE32-E72D297353CC}">
              <c16:uniqueId val="{00000000-99FA-45E1-989A-1529622C8217}"/>
            </c:ext>
          </c:extLst>
        </c:ser>
        <c:ser>
          <c:idx val="1"/>
          <c:order val="1"/>
          <c:tx>
            <c:v>CV</c:v>
          </c:tx>
          <c:spPr>
            <a:ln w="19050" cap="rnd">
              <a:solidFill>
                <a:schemeClr val="accent2"/>
              </a:solidFill>
              <a:round/>
            </a:ln>
            <a:effectLst/>
          </c:spPr>
          <c:marker>
            <c:symbol val="none"/>
          </c:marker>
          <c:xVal>
            <c:numRef>
              <c:f>'Pto Eq'!$Y$5:$Y$20</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Eq'!$AA$5:$AA$20</c:f>
              <c:numCache>
                <c:formatCode>#,##0</c:formatCode>
                <c:ptCount val="16"/>
                <c:pt idx="0">
                  <c:v>0</c:v>
                </c:pt>
                <c:pt idx="1">
                  <c:v>229775.35359844143</c:v>
                </c:pt>
                <c:pt idx="2">
                  <c:v>459550.70719688287</c:v>
                </c:pt>
                <c:pt idx="3">
                  <c:v>689326.06079532427</c:v>
                </c:pt>
                <c:pt idx="4">
                  <c:v>919101.41439376574</c:v>
                </c:pt>
                <c:pt idx="5">
                  <c:v>1148876.7679922071</c:v>
                </c:pt>
                <c:pt idx="6">
                  <c:v>1378652.1215906485</c:v>
                </c:pt>
                <c:pt idx="7">
                  <c:v>1608427.47518909</c:v>
                </c:pt>
                <c:pt idx="8">
                  <c:v>1838202.8287875315</c:v>
                </c:pt>
                <c:pt idx="9">
                  <c:v>2067978.1823859729</c:v>
                </c:pt>
                <c:pt idx="10">
                  <c:v>2297753.5359844142</c:v>
                </c:pt>
                <c:pt idx="11">
                  <c:v>2527528.8895828556</c:v>
                </c:pt>
                <c:pt idx="12">
                  <c:v>2757304.2431812971</c:v>
                </c:pt>
                <c:pt idx="13">
                  <c:v>2987079.5967797386</c:v>
                </c:pt>
                <c:pt idx="14">
                  <c:v>3216854.95037818</c:v>
                </c:pt>
                <c:pt idx="15">
                  <c:v>3446630.3039766215</c:v>
                </c:pt>
              </c:numCache>
            </c:numRef>
          </c:yVal>
          <c:smooth val="0"/>
          <c:extLst>
            <c:ext xmlns:c16="http://schemas.microsoft.com/office/drawing/2014/chart" uri="{C3380CC4-5D6E-409C-BE32-E72D297353CC}">
              <c16:uniqueId val="{00000001-99FA-45E1-989A-1529622C8217}"/>
            </c:ext>
          </c:extLst>
        </c:ser>
        <c:ser>
          <c:idx val="2"/>
          <c:order val="2"/>
          <c:tx>
            <c:v>CT</c:v>
          </c:tx>
          <c:spPr>
            <a:ln w="19050" cap="rnd">
              <a:solidFill>
                <a:schemeClr val="accent3"/>
              </a:solidFill>
              <a:round/>
            </a:ln>
            <a:effectLst/>
          </c:spPr>
          <c:marker>
            <c:symbol val="none"/>
          </c:marker>
          <c:xVal>
            <c:numRef>
              <c:f>'Pto Eq'!$Y$5:$Y$20</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Eq'!$AB$5:$AB$20</c:f>
              <c:numCache>
                <c:formatCode>#,##0</c:formatCode>
                <c:ptCount val="16"/>
                <c:pt idx="0">
                  <c:v>6137353.4900708366</c:v>
                </c:pt>
                <c:pt idx="1">
                  <c:v>6367128.8436692776</c:v>
                </c:pt>
                <c:pt idx="2">
                  <c:v>6596904.1972677195</c:v>
                </c:pt>
                <c:pt idx="3">
                  <c:v>6826679.5508661605</c:v>
                </c:pt>
                <c:pt idx="4">
                  <c:v>7056454.9044646025</c:v>
                </c:pt>
                <c:pt idx="5">
                  <c:v>7286230.2580630435</c:v>
                </c:pt>
                <c:pt idx="6">
                  <c:v>7516005.6116614854</c:v>
                </c:pt>
                <c:pt idx="7">
                  <c:v>7745780.9652599264</c:v>
                </c:pt>
                <c:pt idx="8">
                  <c:v>7975556.3188583683</c:v>
                </c:pt>
                <c:pt idx="9">
                  <c:v>8205331.6724568093</c:v>
                </c:pt>
                <c:pt idx="10">
                  <c:v>8435107.0260552503</c:v>
                </c:pt>
                <c:pt idx="11">
                  <c:v>8664882.3796536922</c:v>
                </c:pt>
                <c:pt idx="12">
                  <c:v>8894657.7332521342</c:v>
                </c:pt>
                <c:pt idx="13">
                  <c:v>9124433.0868505761</c:v>
                </c:pt>
                <c:pt idx="14">
                  <c:v>9354208.4404490162</c:v>
                </c:pt>
                <c:pt idx="15">
                  <c:v>9583983.7940474581</c:v>
                </c:pt>
              </c:numCache>
            </c:numRef>
          </c:yVal>
          <c:smooth val="0"/>
          <c:extLst>
            <c:ext xmlns:c16="http://schemas.microsoft.com/office/drawing/2014/chart" uri="{C3380CC4-5D6E-409C-BE32-E72D297353CC}">
              <c16:uniqueId val="{00000002-99FA-45E1-989A-1529622C8217}"/>
            </c:ext>
          </c:extLst>
        </c:ser>
        <c:ser>
          <c:idx val="3"/>
          <c:order val="3"/>
          <c:tx>
            <c:v>IV</c:v>
          </c:tx>
          <c:spPr>
            <a:ln w="19050" cap="rnd">
              <a:solidFill>
                <a:schemeClr val="accent4"/>
              </a:solidFill>
              <a:round/>
            </a:ln>
            <a:effectLst/>
          </c:spPr>
          <c:marker>
            <c:symbol val="none"/>
          </c:marker>
          <c:xVal>
            <c:numRef>
              <c:f>'Pto Eq'!$Y$5:$Y$20</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Eq'!$AC$5:$AC$20</c:f>
              <c:numCache>
                <c:formatCode>#,##0</c:formatCode>
                <c:ptCount val="16"/>
                <c:pt idx="0">
                  <c:v>0</c:v>
                </c:pt>
                <c:pt idx="1">
                  <c:v>900000</c:v>
                </c:pt>
                <c:pt idx="2">
                  <c:v>1800000</c:v>
                </c:pt>
                <c:pt idx="3">
                  <c:v>2700000</c:v>
                </c:pt>
                <c:pt idx="4">
                  <c:v>3600000</c:v>
                </c:pt>
                <c:pt idx="5">
                  <c:v>4500000</c:v>
                </c:pt>
                <c:pt idx="6">
                  <c:v>5400000</c:v>
                </c:pt>
                <c:pt idx="7">
                  <c:v>6300000</c:v>
                </c:pt>
                <c:pt idx="8">
                  <c:v>7200000</c:v>
                </c:pt>
                <c:pt idx="9">
                  <c:v>8100000</c:v>
                </c:pt>
                <c:pt idx="10">
                  <c:v>9000000</c:v>
                </c:pt>
                <c:pt idx="11">
                  <c:v>9900000</c:v>
                </c:pt>
                <c:pt idx="12">
                  <c:v>10800000</c:v>
                </c:pt>
                <c:pt idx="13">
                  <c:v>11700000</c:v>
                </c:pt>
                <c:pt idx="14">
                  <c:v>12600000</c:v>
                </c:pt>
                <c:pt idx="15">
                  <c:v>13500000</c:v>
                </c:pt>
              </c:numCache>
            </c:numRef>
          </c:yVal>
          <c:smooth val="0"/>
          <c:extLst>
            <c:ext xmlns:c16="http://schemas.microsoft.com/office/drawing/2014/chart" uri="{C3380CC4-5D6E-409C-BE32-E72D297353CC}">
              <c16:uniqueId val="{00000003-99FA-45E1-989A-1529622C8217}"/>
            </c:ext>
          </c:extLst>
        </c:ser>
        <c:dLbls>
          <c:showLegendKey val="0"/>
          <c:showVal val="0"/>
          <c:showCatName val="0"/>
          <c:showSerName val="0"/>
          <c:showPercent val="0"/>
          <c:showBubbleSize val="0"/>
        </c:dLbls>
        <c:axId val="2062511167"/>
        <c:axId val="2062507423"/>
      </c:scatterChart>
      <c:valAx>
        <c:axId val="206251116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07423"/>
        <c:crosses val="autoZero"/>
        <c:crossBetween val="midCat"/>
        <c:majorUnit val="1000"/>
        <c:minorUnit val="500"/>
      </c:valAx>
      <c:valAx>
        <c:axId val="20625074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11167"/>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Punto de Equilibrio - Año 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scatterChart>
        <c:scatterStyle val="lineMarker"/>
        <c:varyColors val="0"/>
        <c:ser>
          <c:idx val="0"/>
          <c:order val="0"/>
          <c:tx>
            <c:v>CF</c:v>
          </c:tx>
          <c:spPr>
            <a:ln w="19050" cap="rnd">
              <a:solidFill>
                <a:schemeClr val="accent1"/>
              </a:solidFill>
              <a:round/>
            </a:ln>
            <a:effectLst/>
          </c:spPr>
          <c:marker>
            <c:symbol val="none"/>
          </c:marker>
          <c:xVal>
            <c:numRef>
              <c:f>'Pto Eq'!$Y$29:$Y$44</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Eq'!$Z$29:$Z$44</c:f>
              <c:numCache>
                <c:formatCode>#,##0</c:formatCode>
                <c:ptCount val="16"/>
                <c:pt idx="0">
                  <c:v>5963576.360851625</c:v>
                </c:pt>
                <c:pt idx="1">
                  <c:v>5963576.360851625</c:v>
                </c:pt>
                <c:pt idx="2">
                  <c:v>5963576.360851625</c:v>
                </c:pt>
                <c:pt idx="3">
                  <c:v>5963576.360851625</c:v>
                </c:pt>
                <c:pt idx="4">
                  <c:v>5963576.360851625</c:v>
                </c:pt>
                <c:pt idx="5">
                  <c:v>5963576.360851625</c:v>
                </c:pt>
                <c:pt idx="6">
                  <c:v>5963576.360851625</c:v>
                </c:pt>
                <c:pt idx="7">
                  <c:v>5963576.360851625</c:v>
                </c:pt>
                <c:pt idx="8">
                  <c:v>5963576.360851625</c:v>
                </c:pt>
                <c:pt idx="9">
                  <c:v>5963576.360851625</c:v>
                </c:pt>
                <c:pt idx="10">
                  <c:v>5963576.360851625</c:v>
                </c:pt>
                <c:pt idx="11">
                  <c:v>5963576.360851625</c:v>
                </c:pt>
                <c:pt idx="12">
                  <c:v>5963576.360851625</c:v>
                </c:pt>
                <c:pt idx="13">
                  <c:v>5963576.360851625</c:v>
                </c:pt>
                <c:pt idx="14">
                  <c:v>5963576.360851625</c:v>
                </c:pt>
                <c:pt idx="15">
                  <c:v>5963576.360851625</c:v>
                </c:pt>
              </c:numCache>
            </c:numRef>
          </c:yVal>
          <c:smooth val="0"/>
          <c:extLst>
            <c:ext xmlns:c16="http://schemas.microsoft.com/office/drawing/2014/chart" uri="{C3380CC4-5D6E-409C-BE32-E72D297353CC}">
              <c16:uniqueId val="{00000000-FF6C-4839-B01F-F69219FBD98B}"/>
            </c:ext>
          </c:extLst>
        </c:ser>
        <c:ser>
          <c:idx val="1"/>
          <c:order val="1"/>
          <c:tx>
            <c:v>CV</c:v>
          </c:tx>
          <c:spPr>
            <a:ln w="19050" cap="rnd">
              <a:solidFill>
                <a:schemeClr val="accent2"/>
              </a:solidFill>
              <a:round/>
            </a:ln>
            <a:effectLst/>
          </c:spPr>
          <c:marker>
            <c:symbol val="none"/>
          </c:marker>
          <c:xVal>
            <c:numRef>
              <c:f>'Pto Eq'!$Y$29:$Y$44</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Eq'!$AA$29:$AA$44</c:f>
              <c:numCache>
                <c:formatCode>#,##0</c:formatCode>
                <c:ptCount val="16"/>
                <c:pt idx="0">
                  <c:v>0</c:v>
                </c:pt>
                <c:pt idx="1">
                  <c:v>290072.36468678288</c:v>
                </c:pt>
                <c:pt idx="2">
                  <c:v>580144.72937356576</c:v>
                </c:pt>
                <c:pt idx="3">
                  <c:v>870217.09406034858</c:v>
                </c:pt>
                <c:pt idx="4">
                  <c:v>1160289.4587471315</c:v>
                </c:pt>
                <c:pt idx="5">
                  <c:v>1450361.8234339142</c:v>
                </c:pt>
                <c:pt idx="6">
                  <c:v>1740434.1881206972</c:v>
                </c:pt>
                <c:pt idx="7">
                  <c:v>2030506.5528074801</c:v>
                </c:pt>
                <c:pt idx="8">
                  <c:v>2320578.917494263</c:v>
                </c:pt>
                <c:pt idx="9">
                  <c:v>2610651.282181046</c:v>
                </c:pt>
                <c:pt idx="10">
                  <c:v>2900723.6468678284</c:v>
                </c:pt>
                <c:pt idx="11">
                  <c:v>3190796.0115546114</c:v>
                </c:pt>
                <c:pt idx="12">
                  <c:v>3480868.3762413943</c:v>
                </c:pt>
                <c:pt idx="13">
                  <c:v>3770940.7409281773</c:v>
                </c:pt>
                <c:pt idx="14">
                  <c:v>4061013.1056149602</c:v>
                </c:pt>
                <c:pt idx="15">
                  <c:v>4351085.4703017427</c:v>
                </c:pt>
              </c:numCache>
            </c:numRef>
          </c:yVal>
          <c:smooth val="0"/>
          <c:extLst>
            <c:ext xmlns:c16="http://schemas.microsoft.com/office/drawing/2014/chart" uri="{C3380CC4-5D6E-409C-BE32-E72D297353CC}">
              <c16:uniqueId val="{00000001-FF6C-4839-B01F-F69219FBD98B}"/>
            </c:ext>
          </c:extLst>
        </c:ser>
        <c:ser>
          <c:idx val="2"/>
          <c:order val="2"/>
          <c:tx>
            <c:v>CT</c:v>
          </c:tx>
          <c:spPr>
            <a:ln w="19050" cap="rnd">
              <a:solidFill>
                <a:schemeClr val="accent3"/>
              </a:solidFill>
              <a:round/>
            </a:ln>
            <a:effectLst/>
          </c:spPr>
          <c:marker>
            <c:symbol val="none"/>
          </c:marker>
          <c:xVal>
            <c:numRef>
              <c:f>'Pto Eq'!$Y$29:$Y$44</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Eq'!$AB$29:$AB$44</c:f>
              <c:numCache>
                <c:formatCode>#,##0</c:formatCode>
                <c:ptCount val="16"/>
                <c:pt idx="0">
                  <c:v>5963576.360851625</c:v>
                </c:pt>
                <c:pt idx="1">
                  <c:v>6253648.7255384075</c:v>
                </c:pt>
                <c:pt idx="2">
                  <c:v>6543721.0902251909</c:v>
                </c:pt>
                <c:pt idx="3">
                  <c:v>6833793.4549119733</c:v>
                </c:pt>
                <c:pt idx="4">
                  <c:v>7123865.8195987567</c:v>
                </c:pt>
                <c:pt idx="5">
                  <c:v>7413938.1842855392</c:v>
                </c:pt>
                <c:pt idx="6">
                  <c:v>7704010.5489723217</c:v>
                </c:pt>
                <c:pt idx="7">
                  <c:v>7994082.9136591051</c:v>
                </c:pt>
                <c:pt idx="8">
                  <c:v>8284155.2783458885</c:v>
                </c:pt>
                <c:pt idx="9">
                  <c:v>8574227.64303267</c:v>
                </c:pt>
                <c:pt idx="10">
                  <c:v>8864300.0077194534</c:v>
                </c:pt>
                <c:pt idx="11">
                  <c:v>9154372.3724062368</c:v>
                </c:pt>
                <c:pt idx="12">
                  <c:v>9444444.7370930202</c:v>
                </c:pt>
                <c:pt idx="13">
                  <c:v>9734517.1017798018</c:v>
                </c:pt>
                <c:pt idx="14">
                  <c:v>10024589.466466585</c:v>
                </c:pt>
                <c:pt idx="15">
                  <c:v>10314661.831153367</c:v>
                </c:pt>
              </c:numCache>
            </c:numRef>
          </c:yVal>
          <c:smooth val="0"/>
          <c:extLst>
            <c:ext xmlns:c16="http://schemas.microsoft.com/office/drawing/2014/chart" uri="{C3380CC4-5D6E-409C-BE32-E72D297353CC}">
              <c16:uniqueId val="{00000002-FF6C-4839-B01F-F69219FBD98B}"/>
            </c:ext>
          </c:extLst>
        </c:ser>
        <c:ser>
          <c:idx val="3"/>
          <c:order val="3"/>
          <c:tx>
            <c:v>IV</c:v>
          </c:tx>
          <c:spPr>
            <a:ln w="19050" cap="rnd">
              <a:solidFill>
                <a:schemeClr val="accent4"/>
              </a:solidFill>
              <a:round/>
            </a:ln>
            <a:effectLst/>
          </c:spPr>
          <c:marker>
            <c:symbol val="none"/>
          </c:marker>
          <c:xVal>
            <c:numRef>
              <c:f>'Pto Eq'!$Y$29:$Y$44</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Eq'!$AC$29:$AC$44</c:f>
              <c:numCache>
                <c:formatCode>#,##0</c:formatCode>
                <c:ptCount val="16"/>
                <c:pt idx="0">
                  <c:v>0</c:v>
                </c:pt>
                <c:pt idx="1">
                  <c:v>900000</c:v>
                </c:pt>
                <c:pt idx="2">
                  <c:v>1800000</c:v>
                </c:pt>
                <c:pt idx="3">
                  <c:v>2700000</c:v>
                </c:pt>
                <c:pt idx="4">
                  <c:v>3600000</c:v>
                </c:pt>
                <c:pt idx="5">
                  <c:v>4500000</c:v>
                </c:pt>
                <c:pt idx="6">
                  <c:v>5400000</c:v>
                </c:pt>
                <c:pt idx="7">
                  <c:v>6300000</c:v>
                </c:pt>
                <c:pt idx="8">
                  <c:v>7200000</c:v>
                </c:pt>
                <c:pt idx="9">
                  <c:v>8100000</c:v>
                </c:pt>
                <c:pt idx="10">
                  <c:v>9000000</c:v>
                </c:pt>
                <c:pt idx="11">
                  <c:v>9900000</c:v>
                </c:pt>
                <c:pt idx="12">
                  <c:v>10800000</c:v>
                </c:pt>
                <c:pt idx="13">
                  <c:v>11700000</c:v>
                </c:pt>
                <c:pt idx="14">
                  <c:v>12600000</c:v>
                </c:pt>
                <c:pt idx="15">
                  <c:v>13500000</c:v>
                </c:pt>
              </c:numCache>
            </c:numRef>
          </c:yVal>
          <c:smooth val="0"/>
          <c:extLst>
            <c:ext xmlns:c16="http://schemas.microsoft.com/office/drawing/2014/chart" uri="{C3380CC4-5D6E-409C-BE32-E72D297353CC}">
              <c16:uniqueId val="{00000003-FF6C-4839-B01F-F69219FBD98B}"/>
            </c:ext>
          </c:extLst>
        </c:ser>
        <c:dLbls>
          <c:showLegendKey val="0"/>
          <c:showVal val="0"/>
          <c:showCatName val="0"/>
          <c:showSerName val="0"/>
          <c:showPercent val="0"/>
          <c:showBubbleSize val="0"/>
        </c:dLbls>
        <c:axId val="2062511167"/>
        <c:axId val="2062507423"/>
      </c:scatterChart>
      <c:valAx>
        <c:axId val="206251116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07423"/>
        <c:crosses val="autoZero"/>
        <c:crossBetween val="midCat"/>
        <c:majorUnit val="1000"/>
        <c:minorUnit val="500"/>
      </c:valAx>
      <c:valAx>
        <c:axId val="20625074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11167"/>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Punto de Equilibrio - Año 10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scatterChart>
        <c:scatterStyle val="lineMarker"/>
        <c:varyColors val="0"/>
        <c:ser>
          <c:idx val="0"/>
          <c:order val="0"/>
          <c:tx>
            <c:v>CF</c:v>
          </c:tx>
          <c:spPr>
            <a:ln w="19050" cap="rnd">
              <a:solidFill>
                <a:schemeClr val="accent1"/>
              </a:solidFill>
              <a:round/>
            </a:ln>
            <a:effectLst/>
          </c:spPr>
          <c:marker>
            <c:symbol val="none"/>
          </c:marker>
          <c:xVal>
            <c:numRef>
              <c:f>'Pto Eq'!$Y$53:$Y$68</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Eq'!$Z$53:$Z$68</c:f>
              <c:numCache>
                <c:formatCode>#,##0</c:formatCode>
                <c:ptCount val="16"/>
                <c:pt idx="0">
                  <c:v>4338925.9617874054</c:v>
                </c:pt>
                <c:pt idx="1">
                  <c:v>4338925.9617874054</c:v>
                </c:pt>
                <c:pt idx="2">
                  <c:v>4338925.9617874054</c:v>
                </c:pt>
                <c:pt idx="3">
                  <c:v>4338925.9617874054</c:v>
                </c:pt>
                <c:pt idx="4">
                  <c:v>4338925.9617874054</c:v>
                </c:pt>
                <c:pt idx="5">
                  <c:v>4338925.9617874054</c:v>
                </c:pt>
                <c:pt idx="6">
                  <c:v>4338925.9617874054</c:v>
                </c:pt>
                <c:pt idx="7">
                  <c:v>4338925.9617874054</c:v>
                </c:pt>
                <c:pt idx="8">
                  <c:v>4338925.9617874054</c:v>
                </c:pt>
                <c:pt idx="9">
                  <c:v>4338925.9617874054</c:v>
                </c:pt>
                <c:pt idx="10">
                  <c:v>4338925.9617874054</c:v>
                </c:pt>
                <c:pt idx="11">
                  <c:v>4338925.9617874054</c:v>
                </c:pt>
                <c:pt idx="12">
                  <c:v>4338925.9617874054</c:v>
                </c:pt>
                <c:pt idx="13">
                  <c:v>4338925.9617874054</c:v>
                </c:pt>
                <c:pt idx="14">
                  <c:v>4338925.9617874054</c:v>
                </c:pt>
                <c:pt idx="15">
                  <c:v>4338925.9617874054</c:v>
                </c:pt>
              </c:numCache>
            </c:numRef>
          </c:yVal>
          <c:smooth val="0"/>
          <c:extLst>
            <c:ext xmlns:c16="http://schemas.microsoft.com/office/drawing/2014/chart" uri="{C3380CC4-5D6E-409C-BE32-E72D297353CC}">
              <c16:uniqueId val="{00000000-38AB-4965-853E-D67FB6D378BF}"/>
            </c:ext>
          </c:extLst>
        </c:ser>
        <c:ser>
          <c:idx val="1"/>
          <c:order val="1"/>
          <c:tx>
            <c:v>CV</c:v>
          </c:tx>
          <c:spPr>
            <a:ln w="19050" cap="rnd">
              <a:solidFill>
                <a:schemeClr val="accent2"/>
              </a:solidFill>
              <a:round/>
            </a:ln>
            <a:effectLst/>
          </c:spPr>
          <c:marker>
            <c:symbol val="none"/>
          </c:marker>
          <c:xVal>
            <c:numRef>
              <c:f>'Pto Eq'!$Y$53:$Y$68</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Eq'!$AA$53:$AA$68</c:f>
              <c:numCache>
                <c:formatCode>#,##0</c:formatCode>
                <c:ptCount val="16"/>
                <c:pt idx="0">
                  <c:v>0</c:v>
                </c:pt>
                <c:pt idx="1">
                  <c:v>434677.72921031475</c:v>
                </c:pt>
                <c:pt idx="2">
                  <c:v>869355.4584206295</c:v>
                </c:pt>
                <c:pt idx="3">
                  <c:v>1304033.1876309442</c:v>
                </c:pt>
                <c:pt idx="4">
                  <c:v>1738710.916841259</c:v>
                </c:pt>
                <c:pt idx="5">
                  <c:v>2173388.6460515736</c:v>
                </c:pt>
                <c:pt idx="6">
                  <c:v>2608066.3752618884</c:v>
                </c:pt>
                <c:pt idx="7">
                  <c:v>3042744.1044722032</c:v>
                </c:pt>
                <c:pt idx="8">
                  <c:v>3477421.833682518</c:v>
                </c:pt>
                <c:pt idx="9">
                  <c:v>3912099.5628928328</c:v>
                </c:pt>
                <c:pt idx="10">
                  <c:v>4346777.2921031471</c:v>
                </c:pt>
                <c:pt idx="11">
                  <c:v>4781455.0213134624</c:v>
                </c:pt>
                <c:pt idx="12">
                  <c:v>5216132.7505237767</c:v>
                </c:pt>
                <c:pt idx="13">
                  <c:v>5650810.479734092</c:v>
                </c:pt>
                <c:pt idx="14">
                  <c:v>6085488.2089444064</c:v>
                </c:pt>
                <c:pt idx="15">
                  <c:v>6520165.9381547207</c:v>
                </c:pt>
              </c:numCache>
            </c:numRef>
          </c:yVal>
          <c:smooth val="0"/>
          <c:extLst>
            <c:ext xmlns:c16="http://schemas.microsoft.com/office/drawing/2014/chart" uri="{C3380CC4-5D6E-409C-BE32-E72D297353CC}">
              <c16:uniqueId val="{00000001-38AB-4965-853E-D67FB6D378BF}"/>
            </c:ext>
          </c:extLst>
        </c:ser>
        <c:ser>
          <c:idx val="2"/>
          <c:order val="2"/>
          <c:tx>
            <c:v>CT</c:v>
          </c:tx>
          <c:spPr>
            <a:ln w="19050" cap="rnd">
              <a:solidFill>
                <a:schemeClr val="accent3"/>
              </a:solidFill>
              <a:round/>
            </a:ln>
            <a:effectLst/>
          </c:spPr>
          <c:marker>
            <c:symbol val="none"/>
          </c:marker>
          <c:xVal>
            <c:numRef>
              <c:f>'Pto Eq'!$Y$53:$Y$68</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Eq'!$AB$53:$AB$68</c:f>
              <c:numCache>
                <c:formatCode>#,##0</c:formatCode>
                <c:ptCount val="16"/>
                <c:pt idx="0">
                  <c:v>4338925.9617874054</c:v>
                </c:pt>
                <c:pt idx="1">
                  <c:v>4773603.6909977198</c:v>
                </c:pt>
                <c:pt idx="2">
                  <c:v>5208281.420208035</c:v>
                </c:pt>
                <c:pt idx="3">
                  <c:v>5642959.1494183494</c:v>
                </c:pt>
                <c:pt idx="4">
                  <c:v>6077636.8786286647</c:v>
                </c:pt>
                <c:pt idx="5">
                  <c:v>6512314.607838979</c:v>
                </c:pt>
                <c:pt idx="6">
                  <c:v>6946992.3370492943</c:v>
                </c:pt>
                <c:pt idx="7">
                  <c:v>7381670.0662596086</c:v>
                </c:pt>
                <c:pt idx="8">
                  <c:v>7816347.7954699229</c:v>
                </c:pt>
                <c:pt idx="9">
                  <c:v>8251025.5246802382</c:v>
                </c:pt>
                <c:pt idx="10">
                  <c:v>8685703.2538905516</c:v>
                </c:pt>
                <c:pt idx="11">
                  <c:v>9120380.9831008688</c:v>
                </c:pt>
                <c:pt idx="12">
                  <c:v>9555058.7123111822</c:v>
                </c:pt>
                <c:pt idx="13">
                  <c:v>9989736.4415214974</c:v>
                </c:pt>
                <c:pt idx="14">
                  <c:v>10424414.170731813</c:v>
                </c:pt>
                <c:pt idx="15">
                  <c:v>10859091.899942126</c:v>
                </c:pt>
              </c:numCache>
            </c:numRef>
          </c:yVal>
          <c:smooth val="0"/>
          <c:extLst>
            <c:ext xmlns:c16="http://schemas.microsoft.com/office/drawing/2014/chart" uri="{C3380CC4-5D6E-409C-BE32-E72D297353CC}">
              <c16:uniqueId val="{00000002-38AB-4965-853E-D67FB6D378BF}"/>
            </c:ext>
          </c:extLst>
        </c:ser>
        <c:ser>
          <c:idx val="3"/>
          <c:order val="3"/>
          <c:tx>
            <c:v>IV</c:v>
          </c:tx>
          <c:spPr>
            <a:ln w="19050" cap="rnd">
              <a:solidFill>
                <a:schemeClr val="accent4"/>
              </a:solidFill>
              <a:round/>
            </a:ln>
            <a:effectLst/>
          </c:spPr>
          <c:marker>
            <c:symbol val="none"/>
          </c:marker>
          <c:xVal>
            <c:numRef>
              <c:f>'Pto Eq'!$Y$53:$Y$68</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Eq'!$AC$53:$AC$68</c:f>
              <c:numCache>
                <c:formatCode>#,##0</c:formatCode>
                <c:ptCount val="16"/>
                <c:pt idx="0">
                  <c:v>0</c:v>
                </c:pt>
                <c:pt idx="1">
                  <c:v>900000</c:v>
                </c:pt>
                <c:pt idx="2">
                  <c:v>1800000</c:v>
                </c:pt>
                <c:pt idx="3">
                  <c:v>2700000</c:v>
                </c:pt>
                <c:pt idx="4">
                  <c:v>3600000</c:v>
                </c:pt>
                <c:pt idx="5">
                  <c:v>4500000</c:v>
                </c:pt>
                <c:pt idx="6">
                  <c:v>5400000</c:v>
                </c:pt>
                <c:pt idx="7">
                  <c:v>6300000</c:v>
                </c:pt>
                <c:pt idx="8">
                  <c:v>7200000</c:v>
                </c:pt>
                <c:pt idx="9">
                  <c:v>8100000</c:v>
                </c:pt>
                <c:pt idx="10">
                  <c:v>9000000</c:v>
                </c:pt>
                <c:pt idx="11">
                  <c:v>9900000</c:v>
                </c:pt>
                <c:pt idx="12">
                  <c:v>10800000</c:v>
                </c:pt>
                <c:pt idx="13">
                  <c:v>11700000</c:v>
                </c:pt>
                <c:pt idx="14">
                  <c:v>12600000</c:v>
                </c:pt>
                <c:pt idx="15">
                  <c:v>13500000</c:v>
                </c:pt>
              </c:numCache>
            </c:numRef>
          </c:yVal>
          <c:smooth val="0"/>
          <c:extLst>
            <c:ext xmlns:c16="http://schemas.microsoft.com/office/drawing/2014/chart" uri="{C3380CC4-5D6E-409C-BE32-E72D297353CC}">
              <c16:uniqueId val="{00000003-38AB-4965-853E-D67FB6D378BF}"/>
            </c:ext>
          </c:extLst>
        </c:ser>
        <c:dLbls>
          <c:showLegendKey val="0"/>
          <c:showVal val="0"/>
          <c:showCatName val="0"/>
          <c:showSerName val="0"/>
          <c:showPercent val="0"/>
          <c:showBubbleSize val="0"/>
        </c:dLbls>
        <c:axId val="2062511167"/>
        <c:axId val="2062507423"/>
      </c:scatterChart>
      <c:valAx>
        <c:axId val="206251116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07423"/>
        <c:crosses val="autoZero"/>
        <c:crossBetween val="midCat"/>
        <c:majorUnit val="1000"/>
        <c:minorUnit val="500"/>
      </c:valAx>
      <c:valAx>
        <c:axId val="20625074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11167"/>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FF Neto Acumulado - Capital Propio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scatterChart>
        <c:scatterStyle val="smoothMarker"/>
        <c:varyColors val="0"/>
        <c:ser>
          <c:idx val="0"/>
          <c:order val="0"/>
          <c:tx>
            <c:v>FF Neto Acumulado</c:v>
          </c:tx>
          <c:spPr>
            <a:ln w="19050" cap="rnd">
              <a:solidFill>
                <a:schemeClr val="accent1"/>
              </a:solidFill>
              <a:round/>
            </a:ln>
            <a:effectLst/>
          </c:spPr>
          <c:marker>
            <c:symbol val="none"/>
          </c:marker>
          <c:xVal>
            <c:numRef>
              <c:f>FF!$B$5:$B$15</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xVal>
          <c:yVal>
            <c:numRef>
              <c:f>FF!$J$5:$J$15</c:f>
              <c:numCache>
                <c:formatCode>#,##0</c:formatCode>
                <c:ptCount val="11"/>
                <c:pt idx="0">
                  <c:v>-16977867.102500614</c:v>
                </c:pt>
                <c:pt idx="1">
                  <c:v>-14122811.002594983</c:v>
                </c:pt>
                <c:pt idx="2">
                  <c:v>-10532234.1317432</c:v>
                </c:pt>
                <c:pt idx="3">
                  <c:v>-6644590.064528198</c:v>
                </c:pt>
                <c:pt idx="4">
                  <c:v>-2085442.8502785871</c:v>
                </c:pt>
                <c:pt idx="5">
                  <c:v>2467243.8420092175</c:v>
                </c:pt>
                <c:pt idx="6">
                  <c:v>6335603.7906730697</c:v>
                </c:pt>
                <c:pt idx="7">
                  <c:v>10153048.196141971</c:v>
                </c:pt>
                <c:pt idx="8">
                  <c:v>13753773.189182989</c:v>
                </c:pt>
                <c:pt idx="9">
                  <c:v>17137778.769796122</c:v>
                </c:pt>
                <c:pt idx="10">
                  <c:v>25985144.813848071</c:v>
                </c:pt>
              </c:numCache>
            </c:numRef>
          </c:yVal>
          <c:smooth val="1"/>
          <c:extLst>
            <c:ext xmlns:c16="http://schemas.microsoft.com/office/drawing/2014/chart" uri="{C3380CC4-5D6E-409C-BE32-E72D297353CC}">
              <c16:uniqueId val="{00000000-042C-4E30-A28D-94AA0D4C4112}"/>
            </c:ext>
          </c:extLst>
        </c:ser>
        <c:dLbls>
          <c:showLegendKey val="0"/>
          <c:showVal val="0"/>
          <c:showCatName val="0"/>
          <c:showSerName val="0"/>
          <c:showPercent val="0"/>
          <c:showBubbleSize val="0"/>
        </c:dLbls>
        <c:axId val="1880406383"/>
        <c:axId val="1880388079"/>
      </c:scatterChart>
      <c:valAx>
        <c:axId val="18804063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1880388079"/>
        <c:crosses val="autoZero"/>
        <c:crossBetween val="midCat"/>
        <c:majorUnit val="1"/>
        <c:minorUnit val="0.5"/>
      </c:valAx>
      <c:valAx>
        <c:axId val="18803880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188040638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Inversiones Amortizables</a:t>
            </a:r>
            <a:r>
              <a:rPr lang="es-UY" baseline="0"/>
              <a:t> Intangibles</a:t>
            </a:r>
            <a:endParaRPr lang="es-UY"/>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1A5-4A69-AF25-A0D2EECD8E6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1A5-4A69-AF25-A0D2EECD8E6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1A5-4A69-AF25-A0D2EECD8E6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1A5-4A69-AF25-A0D2EECD8E6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1A5-4A69-AF25-A0D2EECD8E6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1A5-4A69-AF25-A0D2EECD8E6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1A5-4A69-AF25-A0D2EECD8E6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1A5-4A69-AF25-A0D2EECD8E6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1A5-4A69-AF25-A0D2EECD8E62}"/>
              </c:ext>
            </c:extLst>
          </c:dPt>
          <c:dPt>
            <c:idx val="9"/>
            <c:bubble3D val="0"/>
            <c:spPr>
              <a:solidFill>
                <a:schemeClr val="accent4">
                  <a:lumMod val="6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('Cuadro Inv'!$B$19:$B$27,'Cuadro Inv'!$B$34)</c:f>
              <c:strCache>
                <c:ptCount val="10"/>
                <c:pt idx="0">
                  <c:v>Confección proyecto inversión</c:v>
                </c:pt>
                <c:pt idx="1">
                  <c:v>Preparación de proyectos técnico de instalación</c:v>
                </c:pt>
                <c:pt idx="2">
                  <c:v>Contratista y Ejecución de la instalación (incl seguros)</c:v>
                </c:pt>
                <c:pt idx="3">
                  <c:v>Gastos legales y de constitución</c:v>
                </c:pt>
                <c:pt idx="4">
                  <c:v>Trámites y habilitaciones</c:v>
                </c:pt>
                <c:pt idx="5">
                  <c:v>Gastos especiales de promoción</c:v>
                </c:pt>
                <c:pt idx="6">
                  <c:v>Capacitación</c:v>
                </c:pt>
                <c:pt idx="7">
                  <c:v>Patentes, llaves, licencias</c:v>
                </c:pt>
                <c:pt idx="8">
                  <c:v>Puesta en marcha</c:v>
                </c:pt>
                <c:pt idx="9">
                  <c:v>Ajustes/Imprevistos</c:v>
                </c:pt>
              </c:strCache>
            </c:strRef>
          </c:cat>
          <c:val>
            <c:numRef>
              <c:f>('Cuadro Inv'!$D$19:$D$27,'Cuadro Inv'!$D$34)</c:f>
              <c:numCache>
                <c:formatCode>#,##0</c:formatCode>
                <c:ptCount val="10"/>
                <c:pt idx="0">
                  <c:v>380000</c:v>
                </c:pt>
                <c:pt idx="1">
                  <c:v>570000</c:v>
                </c:pt>
                <c:pt idx="2">
                  <c:v>2150000</c:v>
                </c:pt>
                <c:pt idx="3">
                  <c:v>120000</c:v>
                </c:pt>
                <c:pt idx="4">
                  <c:v>80000</c:v>
                </c:pt>
                <c:pt idx="5">
                  <c:v>200000</c:v>
                </c:pt>
                <c:pt idx="6">
                  <c:v>100000</c:v>
                </c:pt>
                <c:pt idx="7">
                  <c:v>100000</c:v>
                </c:pt>
                <c:pt idx="8">
                  <c:v>460000</c:v>
                </c:pt>
                <c:pt idx="9">
                  <c:v>1500000</c:v>
                </c:pt>
              </c:numCache>
            </c:numRef>
          </c:val>
          <c:extLst>
            <c:ext xmlns:c16="http://schemas.microsoft.com/office/drawing/2014/chart" uri="{C3380CC4-5D6E-409C-BE32-E72D297353CC}">
              <c16:uniqueId val="{00000000-05CC-47A5-BE5E-C3BBF8AC9520}"/>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FF Neto Acumulado - Capital Mixto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FF!$B$30:$B$40</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xVal>
          <c:yVal>
            <c:numRef>
              <c:f>FF!$K$30:$K$40</c:f>
              <c:numCache>
                <c:formatCode>#,##0</c:formatCode>
                <c:ptCount val="11"/>
                <c:pt idx="0">
                  <c:v>-7295095.2845006138</c:v>
                </c:pt>
                <c:pt idx="1">
                  <c:v>-4763188.6795424828</c:v>
                </c:pt>
                <c:pt idx="2">
                  <c:v>-1494121.4793786989</c:v>
                </c:pt>
                <c:pt idx="3">
                  <c:v>772204.91640780261</c:v>
                </c:pt>
                <c:pt idx="4">
                  <c:v>3755598.1475821622</c:v>
                </c:pt>
                <c:pt idx="5">
                  <c:v>6778094.5451479657</c:v>
                </c:pt>
                <c:pt idx="6">
                  <c:v>9125387.3483430669</c:v>
                </c:pt>
                <c:pt idx="7">
                  <c:v>11465688.472436968</c:v>
                </c:pt>
                <c:pt idx="8">
                  <c:v>13633194.048196735</c:v>
                </c:pt>
                <c:pt idx="9">
                  <c:v>15627904.075622367</c:v>
                </c:pt>
                <c:pt idx="10">
                  <c:v>23129898.430580568</c:v>
                </c:pt>
              </c:numCache>
            </c:numRef>
          </c:yVal>
          <c:smooth val="1"/>
          <c:extLst>
            <c:ext xmlns:c16="http://schemas.microsoft.com/office/drawing/2014/chart" uri="{C3380CC4-5D6E-409C-BE32-E72D297353CC}">
              <c16:uniqueId val="{00000000-7DCF-4CB7-9F5A-43EF6D248122}"/>
            </c:ext>
          </c:extLst>
        </c:ser>
        <c:dLbls>
          <c:showLegendKey val="0"/>
          <c:showVal val="0"/>
          <c:showCatName val="0"/>
          <c:showSerName val="0"/>
          <c:showPercent val="0"/>
          <c:showBubbleSize val="0"/>
        </c:dLbls>
        <c:axId val="1880406383"/>
        <c:axId val="1880388079"/>
      </c:scatterChart>
      <c:valAx>
        <c:axId val="18804063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1880388079"/>
        <c:crosses val="autoZero"/>
        <c:crossBetween val="midCat"/>
        <c:majorUnit val="1"/>
        <c:minorUnit val="0.5"/>
      </c:valAx>
      <c:valAx>
        <c:axId val="18803880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188040638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Inversiones Amortizables Tangibles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BA6-471F-9847-C08C01E3892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BA6-471F-9847-C08C01E3892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BA6-471F-9847-C08C01E3892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BA6-471F-9847-C08C01E3892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BA6-471F-9847-C08C01E3892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BA6-471F-9847-C08C01E3892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BA6-471F-9847-C08C01E3892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BA6-471F-9847-C08C01E3892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BA6-471F-9847-C08C01E3892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BA6-471F-9847-C08C01E3892C}"/>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5BA6-471F-9847-C08C01E3892C}"/>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5BA6-471F-9847-C08C01E3892C}"/>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5BA6-471F-9847-C08C01E3892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'Cuadro Inv'!$B$6:$B$18</c:f>
              <c:strCache>
                <c:ptCount val="13"/>
                <c:pt idx="0">
                  <c:v>Obras especiales sobre el terreno</c:v>
                </c:pt>
                <c:pt idx="1">
                  <c:v>Obra Civil (incl. Instalaciones Provisorias)</c:v>
                </c:pt>
                <c:pt idx="2">
                  <c:v>Maquinaria y equipos de proceso instalados</c:v>
                </c:pt>
                <c:pt idx="3">
                  <c:v>Instalaciones de Servicios</c:v>
                </c:pt>
                <c:pt idx="4">
                  <c:v>Instrumentación y Control</c:v>
                </c:pt>
                <c:pt idx="5">
                  <c:v>Cañerías</c:v>
                </c:pt>
                <c:pt idx="6">
                  <c:v>Instalaciones Eléctricas</c:v>
                </c:pt>
                <c:pt idx="7">
                  <c:v>Aislaciones</c:v>
                </c:pt>
                <c:pt idx="8">
                  <c:v>Instalaciones externas</c:v>
                </c:pt>
                <c:pt idx="9">
                  <c:v>Muebles y equipos de oficina, vestuario, comedor</c:v>
                </c:pt>
                <c:pt idx="10">
                  <c:v>Vehículos</c:v>
                </c:pt>
                <c:pt idx="11">
                  <c:v>Equipos HSE</c:v>
                </c:pt>
                <c:pt idx="12">
                  <c:v>Envases</c:v>
                </c:pt>
              </c:strCache>
            </c:strRef>
          </c:cat>
          <c:val>
            <c:numRef>
              <c:f>'Cuadro Inv'!$C$6:$C$18</c:f>
              <c:numCache>
                <c:formatCode>#,##0</c:formatCode>
                <c:ptCount val="13"/>
                <c:pt idx="0">
                  <c:v>400000</c:v>
                </c:pt>
                <c:pt idx="1">
                  <c:v>1300000</c:v>
                </c:pt>
                <c:pt idx="2">
                  <c:v>3365971</c:v>
                </c:pt>
                <c:pt idx="3">
                  <c:v>1900000</c:v>
                </c:pt>
                <c:pt idx="4">
                  <c:v>750000</c:v>
                </c:pt>
                <c:pt idx="5">
                  <c:v>2000000</c:v>
                </c:pt>
                <c:pt idx="6">
                  <c:v>500000</c:v>
                </c:pt>
                <c:pt idx="7">
                  <c:v>240000</c:v>
                </c:pt>
                <c:pt idx="8">
                  <c:v>20000</c:v>
                </c:pt>
                <c:pt idx="9">
                  <c:v>100000</c:v>
                </c:pt>
                <c:pt idx="10">
                  <c:v>150000</c:v>
                </c:pt>
                <c:pt idx="11">
                  <c:v>50000</c:v>
                </c:pt>
                <c:pt idx="12">
                  <c:v>50000</c:v>
                </c:pt>
              </c:numCache>
            </c:numRef>
          </c:val>
          <c:extLst>
            <c:ext xmlns:c16="http://schemas.microsoft.com/office/drawing/2014/chart" uri="{C3380CC4-5D6E-409C-BE32-E72D297353CC}">
              <c16:uniqueId val="{0000001A-5BA6-471F-9847-C08C01E3892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Inversiones No Amortizables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98F-4005-AC62-1CEDAB3EAD8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98F-4005-AC62-1CEDAB3EAD8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98F-4005-AC62-1CEDAB3EAD8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98F-4005-AC62-1CEDAB3EAD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98F-4005-AC62-1CEDAB3EAD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98F-4005-AC62-1CEDAB3EAD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'Cuadro Inv'!$B$28:$B$33</c:f>
              <c:strCache>
                <c:ptCount val="6"/>
                <c:pt idx="0">
                  <c:v>Inventario en efectivo</c:v>
                </c:pt>
                <c:pt idx="1">
                  <c:v>Inventario de materias primas</c:v>
                </c:pt>
                <c:pt idx="2">
                  <c:v>Inventario de envases e insumos</c:v>
                </c:pt>
                <c:pt idx="3">
                  <c:v>Inventario de producto en proceso</c:v>
                </c:pt>
                <c:pt idx="4">
                  <c:v>Inventario de producto terminado</c:v>
                </c:pt>
                <c:pt idx="5">
                  <c:v>Inventario de producto terminado a cobrar</c:v>
                </c:pt>
              </c:strCache>
            </c:strRef>
          </c:cat>
          <c:val>
            <c:numRef>
              <c:f>'Cuadro Inv'!$E$28:$E$33</c:f>
              <c:numCache>
                <c:formatCode>#,##0</c:formatCode>
                <c:ptCount val="6"/>
                <c:pt idx="0">
                  <c:v>135000</c:v>
                </c:pt>
                <c:pt idx="1">
                  <c:v>80000</c:v>
                </c:pt>
                <c:pt idx="2">
                  <c:v>5000</c:v>
                </c:pt>
                <c:pt idx="3">
                  <c:v>80000</c:v>
                </c:pt>
                <c:pt idx="4">
                  <c:v>500000</c:v>
                </c:pt>
                <c:pt idx="5">
                  <c:v>500000</c:v>
                </c:pt>
              </c:numCache>
            </c:numRef>
          </c:val>
          <c:extLst>
            <c:ext xmlns:c16="http://schemas.microsoft.com/office/drawing/2014/chart" uri="{C3380CC4-5D6E-409C-BE32-E72D297353CC}">
              <c16:uniqueId val="{0000000C-398F-4005-AC62-1CEDAB3EAD8F}"/>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Inversiones Amortizables</a:t>
            </a:r>
            <a:r>
              <a:rPr lang="es-UY" baseline="0"/>
              <a:t> Intangibles</a:t>
            </a:r>
            <a:endParaRPr lang="es-UY"/>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86C-4B50-9951-D22F7CEE55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86C-4B50-9951-D22F7CEE559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86C-4B50-9951-D22F7CEE559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86C-4B50-9951-D22F7CEE559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86C-4B50-9951-D22F7CEE559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86C-4B50-9951-D22F7CEE559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86C-4B50-9951-D22F7CEE559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86C-4B50-9951-D22F7CEE559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686C-4B50-9951-D22F7CEE559F}"/>
              </c:ext>
            </c:extLst>
          </c:dPt>
          <c:dPt>
            <c:idx val="9"/>
            <c:bubble3D val="0"/>
            <c:spPr>
              <a:solidFill>
                <a:schemeClr val="accent4">
                  <a:lumMod val="6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('Cuadro Inv'!$B$19:$B$27,'Cuadro Inv'!$B$34)</c:f>
              <c:strCache>
                <c:ptCount val="10"/>
                <c:pt idx="0">
                  <c:v>Confección proyecto inversión</c:v>
                </c:pt>
                <c:pt idx="1">
                  <c:v>Preparación de proyectos técnico de instalación</c:v>
                </c:pt>
                <c:pt idx="2">
                  <c:v>Contratista y Ejecución de la instalación (incl seguros)</c:v>
                </c:pt>
                <c:pt idx="3">
                  <c:v>Gastos legales y de constitución</c:v>
                </c:pt>
                <c:pt idx="4">
                  <c:v>Trámites y habilitaciones</c:v>
                </c:pt>
                <c:pt idx="5">
                  <c:v>Gastos especiales de promoción</c:v>
                </c:pt>
                <c:pt idx="6">
                  <c:v>Capacitación</c:v>
                </c:pt>
                <c:pt idx="7">
                  <c:v>Patentes, llaves, licencias</c:v>
                </c:pt>
                <c:pt idx="8">
                  <c:v>Puesta en marcha</c:v>
                </c:pt>
                <c:pt idx="9">
                  <c:v>Ajustes/Imprevistos</c:v>
                </c:pt>
              </c:strCache>
            </c:strRef>
          </c:cat>
          <c:val>
            <c:numRef>
              <c:f>('Cuadro Inv'!$D$19:$D$27,'Cuadro Inv'!$D$34)</c:f>
              <c:numCache>
                <c:formatCode>#,##0</c:formatCode>
                <c:ptCount val="10"/>
                <c:pt idx="0">
                  <c:v>380000</c:v>
                </c:pt>
                <c:pt idx="1">
                  <c:v>570000</c:v>
                </c:pt>
                <c:pt idx="2">
                  <c:v>2150000</c:v>
                </c:pt>
                <c:pt idx="3">
                  <c:v>120000</c:v>
                </c:pt>
                <c:pt idx="4">
                  <c:v>80000</c:v>
                </c:pt>
                <c:pt idx="5">
                  <c:v>200000</c:v>
                </c:pt>
                <c:pt idx="6">
                  <c:v>100000</c:v>
                </c:pt>
                <c:pt idx="7">
                  <c:v>100000</c:v>
                </c:pt>
                <c:pt idx="8">
                  <c:v>460000</c:v>
                </c:pt>
                <c:pt idx="9">
                  <c:v>1500000</c:v>
                </c:pt>
              </c:numCache>
            </c:numRef>
          </c:val>
          <c:extLst>
            <c:ext xmlns:c16="http://schemas.microsoft.com/office/drawing/2014/chart" uri="{C3380CC4-5D6E-409C-BE32-E72D297353CC}">
              <c16:uniqueId val="{00000012-686C-4B50-9951-D22F7CEE559F}"/>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Inversiones Totales del Proyecto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104-4BBE-B166-8DC5FA9BE97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104-4BBE-B166-8DC5FA9BE97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104-4BBE-B166-8DC5FA9BE97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104-4BBE-B166-8DC5FA9BE97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104-4BBE-B166-8DC5FA9BE97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'Cuadro Inv'!$Q$6:$Q$10</c:f>
              <c:strCache>
                <c:ptCount val="5"/>
                <c:pt idx="0">
                  <c:v>Terreno</c:v>
                </c:pt>
                <c:pt idx="1">
                  <c:v>Inversiones amortizables tangibles</c:v>
                </c:pt>
                <c:pt idx="2">
                  <c:v>Inversiones amortizables intangibles</c:v>
                </c:pt>
                <c:pt idx="3">
                  <c:v>Inversiones no amortizables</c:v>
                </c:pt>
                <c:pt idx="4">
                  <c:v>Ajustes/Imprevistos</c:v>
                </c:pt>
              </c:strCache>
            </c:strRef>
          </c:cat>
          <c:val>
            <c:numRef>
              <c:f>'Cuadro Inv'!$R$6:$R$10</c:f>
              <c:numCache>
                <c:formatCode>#,##0</c:formatCode>
                <c:ptCount val="5"/>
                <c:pt idx="0">
                  <c:v>170000</c:v>
                </c:pt>
                <c:pt idx="1">
                  <c:v>10825971</c:v>
                </c:pt>
                <c:pt idx="2">
                  <c:v>4160000</c:v>
                </c:pt>
                <c:pt idx="3">
                  <c:v>1300000</c:v>
                </c:pt>
                <c:pt idx="4">
                  <c:v>1500000</c:v>
                </c:pt>
              </c:numCache>
            </c:numRef>
          </c:val>
          <c:extLst>
            <c:ext xmlns:c16="http://schemas.microsoft.com/office/drawing/2014/chart" uri="{C3380CC4-5D6E-409C-BE32-E72D297353CC}">
              <c16:uniqueId val="{0000000A-E104-4BBE-B166-8DC5FA9BE97A}"/>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Inversiones Amortizables Tangibles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AEE-451A-84C6-0E7B62BAA33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AEE-451A-84C6-0E7B62BAA33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AEE-451A-84C6-0E7B62BAA33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AEE-451A-84C6-0E7B62BAA33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AEE-451A-84C6-0E7B62BAA33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AEE-451A-84C6-0E7B62BAA33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AEE-451A-84C6-0E7B62BAA33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AEE-451A-84C6-0E7B62BAA33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AEE-451A-84C6-0E7B62BAA33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0AEE-451A-84C6-0E7B62BAA330}"/>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0AEE-451A-84C6-0E7B62BAA330}"/>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0AEE-451A-84C6-0E7B62BAA330}"/>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0AEE-451A-84C6-0E7B62BAA3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'Cuadro Inv'!$B$86:$B$98</c:f>
              <c:strCache>
                <c:ptCount val="13"/>
                <c:pt idx="0">
                  <c:v>Obras especiales sobre el terreno</c:v>
                </c:pt>
                <c:pt idx="1">
                  <c:v>Obra Civil (incl. Instalaciones Provisorias)</c:v>
                </c:pt>
                <c:pt idx="2">
                  <c:v>Maquinaria y equipos de proceso instalados</c:v>
                </c:pt>
                <c:pt idx="3">
                  <c:v>Instalaciones de Servicios</c:v>
                </c:pt>
                <c:pt idx="4">
                  <c:v>Instrumentación y Control</c:v>
                </c:pt>
                <c:pt idx="5">
                  <c:v>Cañerías</c:v>
                </c:pt>
                <c:pt idx="6">
                  <c:v>Instalaciones Eléctricas</c:v>
                </c:pt>
                <c:pt idx="7">
                  <c:v>Aislaciones</c:v>
                </c:pt>
                <c:pt idx="8">
                  <c:v>Instalaciones externas</c:v>
                </c:pt>
                <c:pt idx="9">
                  <c:v>Muebles y equipos de oficina, vestuario, comedor</c:v>
                </c:pt>
                <c:pt idx="10">
                  <c:v>Vehículos</c:v>
                </c:pt>
                <c:pt idx="11">
                  <c:v>Equipos HSE</c:v>
                </c:pt>
                <c:pt idx="12">
                  <c:v>Envases</c:v>
                </c:pt>
              </c:strCache>
            </c:strRef>
          </c:cat>
          <c:val>
            <c:numRef>
              <c:f>'Cuadro Inv'!$C$86:$C$98</c:f>
              <c:numCache>
                <c:formatCode>#,##0</c:formatCode>
                <c:ptCount val="13"/>
                <c:pt idx="0">
                  <c:v>400000</c:v>
                </c:pt>
                <c:pt idx="1">
                  <c:v>1300000</c:v>
                </c:pt>
                <c:pt idx="2">
                  <c:v>3365971</c:v>
                </c:pt>
                <c:pt idx="3">
                  <c:v>1900000</c:v>
                </c:pt>
                <c:pt idx="4">
                  <c:v>750000</c:v>
                </c:pt>
                <c:pt idx="5">
                  <c:v>2000000</c:v>
                </c:pt>
                <c:pt idx="6">
                  <c:v>500000</c:v>
                </c:pt>
                <c:pt idx="7">
                  <c:v>240000</c:v>
                </c:pt>
                <c:pt idx="8">
                  <c:v>20000</c:v>
                </c:pt>
                <c:pt idx="9">
                  <c:v>100000</c:v>
                </c:pt>
                <c:pt idx="10">
                  <c:v>150000</c:v>
                </c:pt>
                <c:pt idx="11">
                  <c:v>50000</c:v>
                </c:pt>
                <c:pt idx="12">
                  <c:v>50000</c:v>
                </c:pt>
              </c:numCache>
            </c:numRef>
          </c:val>
          <c:extLst>
            <c:ext xmlns:c16="http://schemas.microsoft.com/office/drawing/2014/chart" uri="{C3380CC4-5D6E-409C-BE32-E72D297353CC}">
              <c16:uniqueId val="{0000001A-0AEE-451A-84C6-0E7B62BAA330}"/>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Inversiones No Amortizables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38E-4FE5-A3E3-AC2CA99223E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38E-4FE5-A3E3-AC2CA99223E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38E-4FE5-A3E3-AC2CA99223E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38E-4FE5-A3E3-AC2CA99223E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38E-4FE5-A3E3-AC2CA99223E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38E-4FE5-A3E3-AC2CA99223E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'Cuadro Inv'!$B$110:$B$115</c:f>
              <c:strCache>
                <c:ptCount val="6"/>
                <c:pt idx="0">
                  <c:v>Inventario en efectivo</c:v>
                </c:pt>
                <c:pt idx="1">
                  <c:v>Inventario de materias primas</c:v>
                </c:pt>
                <c:pt idx="2">
                  <c:v>Inventario de envases</c:v>
                </c:pt>
                <c:pt idx="3">
                  <c:v>Inventario de producto en proceso</c:v>
                </c:pt>
                <c:pt idx="4">
                  <c:v>Inventario de producto terminado</c:v>
                </c:pt>
                <c:pt idx="5">
                  <c:v>Inventario de producto terminado a cobrar</c:v>
                </c:pt>
              </c:strCache>
            </c:strRef>
          </c:cat>
          <c:val>
            <c:numRef>
              <c:f>'Cuadro Inv'!$E$110:$E$115</c:f>
              <c:numCache>
                <c:formatCode>#,##0</c:formatCode>
                <c:ptCount val="6"/>
                <c:pt idx="0">
                  <c:v>135000</c:v>
                </c:pt>
                <c:pt idx="1">
                  <c:v>80000</c:v>
                </c:pt>
                <c:pt idx="2">
                  <c:v>5000</c:v>
                </c:pt>
                <c:pt idx="3">
                  <c:v>80000</c:v>
                </c:pt>
                <c:pt idx="4">
                  <c:v>500000</c:v>
                </c:pt>
                <c:pt idx="5">
                  <c:v>500000</c:v>
                </c:pt>
              </c:numCache>
            </c:numRef>
          </c:val>
          <c:extLst>
            <c:ext xmlns:c16="http://schemas.microsoft.com/office/drawing/2014/chart" uri="{C3380CC4-5D6E-409C-BE32-E72D297353CC}">
              <c16:uniqueId val="{0000000C-C38E-4FE5-A3E3-AC2CA99223E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Inversiones Amortizables</a:t>
            </a:r>
            <a:r>
              <a:rPr lang="es-UY" baseline="0"/>
              <a:t> Intangibles</a:t>
            </a:r>
            <a:endParaRPr lang="es-UY"/>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769-47EB-A291-92F2C28B7DA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769-47EB-A291-92F2C28B7DA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769-47EB-A291-92F2C28B7DA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769-47EB-A291-92F2C28B7DA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69-47EB-A291-92F2C28B7DA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769-47EB-A291-92F2C28B7DA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769-47EB-A291-92F2C28B7DA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9769-47EB-A291-92F2C28B7DA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9769-47EB-A291-92F2C28B7DA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9769-47EB-A291-92F2C28B7DA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9769-47EB-A291-92F2C28B7DA7}"/>
              </c:ext>
            </c:extLst>
          </c:dPt>
          <c:dPt>
            <c:idx val="11"/>
            <c:bubble3D val="0"/>
            <c:spPr>
              <a:solidFill>
                <a:schemeClr val="accent6">
                  <a:lumMod val="6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('Cuadro Inv'!$B$99:$B$109,'Cuadro Inv'!$B$116)</c:f>
              <c:strCache>
                <c:ptCount val="12"/>
                <c:pt idx="0">
                  <c:v>Confección proyecto inversión</c:v>
                </c:pt>
                <c:pt idx="1">
                  <c:v>Preparación de proyectos técnico de instalación</c:v>
                </c:pt>
                <c:pt idx="2">
                  <c:v>Contratista y Ejecución de la instalación</c:v>
                </c:pt>
                <c:pt idx="3">
                  <c:v>Gastos legales y de constitución</c:v>
                </c:pt>
                <c:pt idx="4">
                  <c:v>Trámites y habilitaciones</c:v>
                </c:pt>
                <c:pt idx="5">
                  <c:v>Gastos especiales de promoción</c:v>
                </c:pt>
                <c:pt idx="6">
                  <c:v>Capacitación</c:v>
                </c:pt>
                <c:pt idx="7">
                  <c:v>Patentes, llaves, licencias</c:v>
                </c:pt>
                <c:pt idx="8">
                  <c:v>Puesta en marcha</c:v>
                </c:pt>
                <c:pt idx="9">
                  <c:v>Costo de Constitución de las Garantías</c:v>
                </c:pt>
                <c:pt idx="10">
                  <c:v>Intereses Intercalarios</c:v>
                </c:pt>
                <c:pt idx="11">
                  <c:v>Ajustes/Imprevistos</c:v>
                </c:pt>
              </c:strCache>
            </c:strRef>
          </c:cat>
          <c:val>
            <c:numRef>
              <c:f>('Cuadro Inv'!$D$99:$D$109,'Cuadro Inv'!$D$116)</c:f>
              <c:numCache>
                <c:formatCode>#,##0</c:formatCode>
                <c:ptCount val="12"/>
                <c:pt idx="0">
                  <c:v>380000</c:v>
                </c:pt>
                <c:pt idx="1">
                  <c:v>570000</c:v>
                </c:pt>
                <c:pt idx="2">
                  <c:v>2150000</c:v>
                </c:pt>
                <c:pt idx="3">
                  <c:v>120000</c:v>
                </c:pt>
                <c:pt idx="4">
                  <c:v>80000</c:v>
                </c:pt>
                <c:pt idx="5">
                  <c:v>200000</c:v>
                </c:pt>
                <c:pt idx="6">
                  <c:v>100000</c:v>
                </c:pt>
                <c:pt idx="7">
                  <c:v>100000</c:v>
                </c:pt>
                <c:pt idx="8">
                  <c:v>460000</c:v>
                </c:pt>
                <c:pt idx="9">
                  <c:v>104115.826</c:v>
                </c:pt>
                <c:pt idx="10">
                  <c:v>624694.95600000001</c:v>
                </c:pt>
                <c:pt idx="11">
                  <c:v>1500000</c:v>
                </c:pt>
              </c:numCache>
            </c:numRef>
          </c:val>
          <c:extLst>
            <c:ext xmlns:c16="http://schemas.microsoft.com/office/drawing/2014/chart" uri="{C3380CC4-5D6E-409C-BE32-E72D297353CC}">
              <c16:uniqueId val="{00000016-9769-47EB-A291-92F2C28B7DA7}"/>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Inversiones Totales del Proyecto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F28-4156-8BEF-48EDC799DD1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F28-4156-8BEF-48EDC799DD1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F28-4156-8BEF-48EDC799DD1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F28-4156-8BEF-48EDC799DD1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F28-4156-8BEF-48EDC799DD1D}"/>
              </c:ext>
            </c:extLst>
          </c:dPt>
          <c:cat>
            <c:strRef>
              <c:f>'Cuadro Inv'!$Q$86:$Q$90</c:f>
              <c:strCache>
                <c:ptCount val="5"/>
                <c:pt idx="0">
                  <c:v>Terreno</c:v>
                </c:pt>
                <c:pt idx="1">
                  <c:v>Inversiones amortizables tangibles</c:v>
                </c:pt>
                <c:pt idx="2">
                  <c:v>Inversiones amortizables intangibles</c:v>
                </c:pt>
                <c:pt idx="3">
                  <c:v>Inversiones no amortizables</c:v>
                </c:pt>
                <c:pt idx="4">
                  <c:v>Ajustes/Imprevistos</c:v>
                </c:pt>
              </c:strCache>
            </c:strRef>
          </c:cat>
          <c:val>
            <c:numRef>
              <c:f>'Cuadro Inv'!$R$86:$R$90</c:f>
              <c:numCache>
                <c:formatCode>#,##0</c:formatCode>
                <c:ptCount val="5"/>
                <c:pt idx="0">
                  <c:v>170000</c:v>
                </c:pt>
                <c:pt idx="1">
                  <c:v>10825971</c:v>
                </c:pt>
                <c:pt idx="2">
                  <c:v>4888810.7820000006</c:v>
                </c:pt>
                <c:pt idx="3">
                  <c:v>1300000</c:v>
                </c:pt>
                <c:pt idx="4">
                  <c:v>1500000</c:v>
                </c:pt>
              </c:numCache>
            </c:numRef>
          </c:val>
          <c:extLst>
            <c:ext xmlns:c16="http://schemas.microsoft.com/office/drawing/2014/chart" uri="{C3380CC4-5D6E-409C-BE32-E72D297353CC}">
              <c16:uniqueId val="{0000000A-9F28-4156-8BEF-48EDC799DD1D}"/>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Costos Totales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1A6-4952-9552-66DC2ECF6D5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1A6-4952-9552-66DC2ECF6D5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1A6-4952-9552-66DC2ECF6D5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1A6-4952-9552-66DC2ECF6D5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1A6-4952-9552-66DC2ECF6D5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1A6-4952-9552-66DC2ECF6D5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1A6-4952-9552-66DC2ECF6D5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1A6-4952-9552-66DC2ECF6D5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21A6-4952-9552-66DC2ECF6D5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21A6-4952-9552-66DC2ECF6D50}"/>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21A6-4952-9552-66DC2ECF6D50}"/>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21A6-4952-9552-66DC2ECF6D50}"/>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21A6-4952-9552-66DC2ECF6D50}"/>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21A6-4952-9552-66DC2ECF6D5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21A6-4952-9552-66DC2ECF6D50}"/>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21A6-4952-9552-66DC2ECF6D50}"/>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21A6-4952-9552-66DC2ECF6D50}"/>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21A6-4952-9552-66DC2ECF6D5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Costos!$D$107:$D$124</c:f>
              <c:strCache>
                <c:ptCount val="18"/>
                <c:pt idx="0">
                  <c:v>Mano de Obra Producción (US$)</c:v>
                </c:pt>
                <c:pt idx="1">
                  <c:v>Amortizaciones (US$)</c:v>
                </c:pt>
                <c:pt idx="2">
                  <c:v>Mantenimiento (US$)</c:v>
                </c:pt>
                <c:pt idx="3">
                  <c:v>Seguros (US$)</c:v>
                </c:pt>
                <c:pt idx="4">
                  <c:v>Gastos de Laboratorio (US$)</c:v>
                </c:pt>
                <c:pt idx="5">
                  <c:v>Patentes y Regalías (US$)</c:v>
                </c:pt>
                <c:pt idx="6">
                  <c:v>Mano de Obra Admin (US$)</c:v>
                </c:pt>
                <c:pt idx="7">
                  <c:v>Gastos de Promoción (US$)</c:v>
                </c:pt>
                <c:pt idx="8">
                  <c:v>Otros Costos (Overhead) (US$)</c:v>
                </c:pt>
                <c:pt idx="9">
                  <c:v>Tasas Municipales (US$)</c:v>
                </c:pt>
                <c:pt idx="10">
                  <c:v>ICOSA (US$)</c:v>
                </c:pt>
                <c:pt idx="11">
                  <c:v>Impuesto al Patrimonio (US$)</c:v>
                </c:pt>
                <c:pt idx="12">
                  <c:v>Materias Primas (US$)</c:v>
                </c:pt>
                <c:pt idx="13">
                  <c:v>Materiales e Insumos (US$)</c:v>
                </c:pt>
                <c:pt idx="14">
                  <c:v>Combustibles y lubricantes (US$)</c:v>
                </c:pt>
                <c:pt idx="15">
                  <c:v>Energía Eléctrica (US$)</c:v>
                </c:pt>
                <c:pt idx="16">
                  <c:v>Agua (US$)</c:v>
                </c:pt>
                <c:pt idx="17">
                  <c:v>Envases (US$)</c:v>
                </c:pt>
              </c:strCache>
            </c:strRef>
          </c:cat>
          <c:val>
            <c:numRef>
              <c:f>Costos!$E$107:$E$124</c:f>
              <c:numCache>
                <c:formatCode>#,##0</c:formatCode>
                <c:ptCount val="18"/>
                <c:pt idx="0">
                  <c:v>1355789.25</c:v>
                </c:pt>
                <c:pt idx="1">
                  <c:v>1802586.3454704816</c:v>
                </c:pt>
                <c:pt idx="2">
                  <c:v>1000000</c:v>
                </c:pt>
                <c:pt idx="3">
                  <c:v>170000</c:v>
                </c:pt>
                <c:pt idx="4">
                  <c:v>120000</c:v>
                </c:pt>
                <c:pt idx="5">
                  <c:v>20000</c:v>
                </c:pt>
                <c:pt idx="6">
                  <c:v>376143.75</c:v>
                </c:pt>
                <c:pt idx="7">
                  <c:v>50000</c:v>
                </c:pt>
                <c:pt idx="8">
                  <c:v>400000</c:v>
                </c:pt>
                <c:pt idx="9">
                  <c:v>10000</c:v>
                </c:pt>
                <c:pt idx="10">
                  <c:v>592.59948599999996</c:v>
                </c:pt>
                <c:pt idx="11">
                  <c:v>159124.91439914386</c:v>
                </c:pt>
                <c:pt idx="12">
                  <c:v>2528882.6755796112</c:v>
                </c:pt>
                <c:pt idx="13">
                  <c:v>4992</c:v>
                </c:pt>
                <c:pt idx="14">
                  <c:v>184400</c:v>
                </c:pt>
                <c:pt idx="15">
                  <c:v>321798.83597499999</c:v>
                </c:pt>
                <c:pt idx="16">
                  <c:v>95722.5</c:v>
                </c:pt>
                <c:pt idx="17">
                  <c:v>55000</c:v>
                </c:pt>
              </c:numCache>
            </c:numRef>
          </c:val>
          <c:extLst>
            <c:ext xmlns:c16="http://schemas.microsoft.com/office/drawing/2014/chart" uri="{C3380CC4-5D6E-409C-BE32-E72D297353CC}">
              <c16:uniqueId val="{00000024-21A6-4952-9552-66DC2ECF6D50}"/>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8160201748974922"/>
          <c:y val="5.1594747851337643E-2"/>
          <c:w val="0.20918139264849958"/>
          <c:h val="0.903231393681097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Inversiones No Amortizables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195-43BD-8069-48B5B362614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195-43BD-8069-48B5B362614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195-43BD-8069-48B5B362614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195-43BD-8069-48B5B362614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195-43BD-8069-48B5B362614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195-43BD-8069-48B5B362614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'Cuadro Inv'!$B$28:$B$33</c:f>
              <c:strCache>
                <c:ptCount val="6"/>
                <c:pt idx="0">
                  <c:v>Inventario en efectivo</c:v>
                </c:pt>
                <c:pt idx="1">
                  <c:v>Inventario de materias primas</c:v>
                </c:pt>
                <c:pt idx="2">
                  <c:v>Inventario de envases e insumos</c:v>
                </c:pt>
                <c:pt idx="3">
                  <c:v>Inventario de producto en proceso</c:v>
                </c:pt>
                <c:pt idx="4">
                  <c:v>Inventario de producto terminado</c:v>
                </c:pt>
                <c:pt idx="5">
                  <c:v>Inventario de producto terminado a cobrar</c:v>
                </c:pt>
              </c:strCache>
            </c:strRef>
          </c:cat>
          <c:val>
            <c:numRef>
              <c:f>'Cuadro Inv'!$E$28:$E$33</c:f>
              <c:numCache>
                <c:formatCode>#,##0</c:formatCode>
                <c:ptCount val="6"/>
                <c:pt idx="0">
                  <c:v>135000</c:v>
                </c:pt>
                <c:pt idx="1">
                  <c:v>80000</c:v>
                </c:pt>
                <c:pt idx="2">
                  <c:v>5000</c:v>
                </c:pt>
                <c:pt idx="3">
                  <c:v>80000</c:v>
                </c:pt>
                <c:pt idx="4">
                  <c:v>500000</c:v>
                </c:pt>
                <c:pt idx="5">
                  <c:v>500000</c:v>
                </c:pt>
              </c:numCache>
            </c:numRef>
          </c:val>
          <c:extLst>
            <c:ext xmlns:c16="http://schemas.microsoft.com/office/drawing/2014/chart" uri="{C3380CC4-5D6E-409C-BE32-E72D297353CC}">
              <c16:uniqueId val="{00000000-CE9E-4ACE-B667-72F3F33F862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Costos Totales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82B-4337-88F7-2B30F9F559F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82B-4337-88F7-2B30F9F559F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82B-4337-88F7-2B30F9F559F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82B-4337-88F7-2B30F9F559F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82B-4337-88F7-2B30F9F559F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82B-4337-88F7-2B30F9F559F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82B-4337-88F7-2B30F9F559F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82B-4337-88F7-2B30F9F559F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82B-4337-88F7-2B30F9F559F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382B-4337-88F7-2B30F9F559F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382B-4337-88F7-2B30F9F559F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382B-4337-88F7-2B30F9F559F2}"/>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382B-4337-88F7-2B30F9F559F2}"/>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382B-4337-88F7-2B30F9F559F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382B-4337-88F7-2B30F9F559F2}"/>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382B-4337-88F7-2B30F9F559F2}"/>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382B-4337-88F7-2B30F9F559F2}"/>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382B-4337-88F7-2B30F9F559F2}"/>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382B-4337-88F7-2B30F9F559F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Costos!$AD$107:$AD$125</c:f>
              <c:strCache>
                <c:ptCount val="19"/>
                <c:pt idx="0">
                  <c:v>Mano de Obra Producción (US$)</c:v>
                </c:pt>
                <c:pt idx="1">
                  <c:v>Amortizaciones (US$)</c:v>
                </c:pt>
                <c:pt idx="2">
                  <c:v>Mantenimiento (US$)</c:v>
                </c:pt>
                <c:pt idx="3">
                  <c:v>Seguros (US$)</c:v>
                </c:pt>
                <c:pt idx="4">
                  <c:v>Gastos de Laboratorio (US$)</c:v>
                </c:pt>
                <c:pt idx="5">
                  <c:v>Patentes y Regalías (US$)</c:v>
                </c:pt>
                <c:pt idx="6">
                  <c:v>Mano de Obra Admin (US$)</c:v>
                </c:pt>
                <c:pt idx="7">
                  <c:v>Gastos de Promoción (US$)</c:v>
                </c:pt>
                <c:pt idx="8">
                  <c:v>Otros Costos (Overhead) (US$)</c:v>
                </c:pt>
                <c:pt idx="9">
                  <c:v>Tasas Municipales (US$)</c:v>
                </c:pt>
                <c:pt idx="10">
                  <c:v>ICOSA (US$)</c:v>
                </c:pt>
                <c:pt idx="11">
                  <c:v>Impuesto al Patrimonio (US$)</c:v>
                </c:pt>
                <c:pt idx="12">
                  <c:v>Costos Financieros (US$)</c:v>
                </c:pt>
                <c:pt idx="13">
                  <c:v>Materias Primas (US$)</c:v>
                </c:pt>
                <c:pt idx="14">
                  <c:v>Materiales e Insumos (US$)</c:v>
                </c:pt>
                <c:pt idx="15">
                  <c:v>Combustibles y lubricantes (US$)</c:v>
                </c:pt>
                <c:pt idx="16">
                  <c:v>Energía Eléctrica (US$)</c:v>
                </c:pt>
                <c:pt idx="17">
                  <c:v>Agua (US$)</c:v>
                </c:pt>
                <c:pt idx="18">
                  <c:v>Envases (US$)</c:v>
                </c:pt>
              </c:strCache>
            </c:strRef>
          </c:cat>
          <c:val>
            <c:numRef>
              <c:f>Costos!$AF$107:$AF$125</c:f>
              <c:numCache>
                <c:formatCode>#,##0.00</c:formatCode>
                <c:ptCount val="19"/>
                <c:pt idx="0">
                  <c:v>123.25356818181818</c:v>
                </c:pt>
                <c:pt idx="1">
                  <c:v>177.12259107913471</c:v>
                </c:pt>
                <c:pt idx="2">
                  <c:v>90.909090909090907</c:v>
                </c:pt>
                <c:pt idx="3">
                  <c:v>15.454545454545455</c:v>
                </c:pt>
                <c:pt idx="4">
                  <c:v>10.909090909090908</c:v>
                </c:pt>
                <c:pt idx="5">
                  <c:v>1.8181818181818181</c:v>
                </c:pt>
                <c:pt idx="6">
                  <c:v>34.194886363636364</c:v>
                </c:pt>
                <c:pt idx="7">
                  <c:v>4.5454545454545459</c:v>
                </c:pt>
                <c:pt idx="8">
                  <c:v>36.363636363636367</c:v>
                </c:pt>
                <c:pt idx="9">
                  <c:v>0.90909090909090906</c:v>
                </c:pt>
                <c:pt idx="10">
                  <c:v>5.3872680545454542E-2</c:v>
                </c:pt>
                <c:pt idx="11">
                  <c:v>4.0164584086494441</c:v>
                </c:pt>
                <c:pt idx="12">
                  <c:v>42.59283790909091</c:v>
                </c:pt>
                <c:pt idx="13">
                  <c:v>229.89842505269192</c:v>
                </c:pt>
                <c:pt idx="14">
                  <c:v>0.45381818181818184</c:v>
                </c:pt>
                <c:pt idx="15">
                  <c:v>16.763636363636362</c:v>
                </c:pt>
                <c:pt idx="16">
                  <c:v>29.254439634090907</c:v>
                </c:pt>
                <c:pt idx="17">
                  <c:v>8.7020454545454538</c:v>
                </c:pt>
                <c:pt idx="18">
                  <c:v>5</c:v>
                </c:pt>
              </c:numCache>
            </c:numRef>
          </c:val>
          <c:extLst>
            <c:ext xmlns:c16="http://schemas.microsoft.com/office/drawing/2014/chart" uri="{C3380CC4-5D6E-409C-BE32-E72D297353CC}">
              <c16:uniqueId val="{00000026-382B-4337-88F7-2B30F9F559F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8135011670254018"/>
          <c:y val="4.5610036450361734E-2"/>
          <c:w val="0.20942266299757514"/>
          <c:h val="0.890325594546583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Punto de Equilibrio - Año 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scatterChart>
        <c:scatterStyle val="lineMarker"/>
        <c:varyColors val="0"/>
        <c:ser>
          <c:idx val="0"/>
          <c:order val="0"/>
          <c:tx>
            <c:v>Costos Fijos</c:v>
          </c:tx>
          <c:spPr>
            <a:ln w="19050" cap="rnd">
              <a:solidFill>
                <a:schemeClr val="accent1"/>
              </a:solidFill>
              <a:round/>
            </a:ln>
            <a:effectLst/>
          </c:spPr>
          <c:marker>
            <c:symbol val="none"/>
          </c:marker>
          <c:xVal>
            <c:numRef>
              <c:f>'Pto Eq'!$C$5:$C$20</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Eq'!$D$5:$D$20</c:f>
              <c:numCache>
                <c:formatCode>#,##0</c:formatCode>
                <c:ptCount val="16"/>
                <c:pt idx="0">
                  <c:v>5512137.9549408369</c:v>
                </c:pt>
                <c:pt idx="1">
                  <c:v>5512137.9549408369</c:v>
                </c:pt>
                <c:pt idx="2">
                  <c:v>5512137.9549408369</c:v>
                </c:pt>
                <c:pt idx="3">
                  <c:v>5512137.9549408369</c:v>
                </c:pt>
                <c:pt idx="4">
                  <c:v>5512137.9549408369</c:v>
                </c:pt>
                <c:pt idx="5">
                  <c:v>5512137.9549408369</c:v>
                </c:pt>
                <c:pt idx="6">
                  <c:v>5512137.9549408369</c:v>
                </c:pt>
                <c:pt idx="7">
                  <c:v>5512137.9549408369</c:v>
                </c:pt>
                <c:pt idx="8">
                  <c:v>5512137.9549408369</c:v>
                </c:pt>
                <c:pt idx="9">
                  <c:v>5512137.9549408369</c:v>
                </c:pt>
                <c:pt idx="10">
                  <c:v>5512137.9549408369</c:v>
                </c:pt>
                <c:pt idx="11">
                  <c:v>5512137.9549408369</c:v>
                </c:pt>
                <c:pt idx="12">
                  <c:v>5512137.9549408369</c:v>
                </c:pt>
                <c:pt idx="13">
                  <c:v>5512137.9549408369</c:v>
                </c:pt>
                <c:pt idx="14">
                  <c:v>5512137.9549408369</c:v>
                </c:pt>
                <c:pt idx="15">
                  <c:v>5512137.9549408369</c:v>
                </c:pt>
              </c:numCache>
            </c:numRef>
          </c:yVal>
          <c:smooth val="0"/>
          <c:extLst>
            <c:ext xmlns:c16="http://schemas.microsoft.com/office/drawing/2014/chart" uri="{C3380CC4-5D6E-409C-BE32-E72D297353CC}">
              <c16:uniqueId val="{00000000-879B-464C-9F33-A1DB558E1460}"/>
            </c:ext>
          </c:extLst>
        </c:ser>
        <c:ser>
          <c:idx val="1"/>
          <c:order val="1"/>
          <c:tx>
            <c:v>Costos Variables</c:v>
          </c:tx>
          <c:spPr>
            <a:ln w="19050" cap="rnd">
              <a:solidFill>
                <a:schemeClr val="accent2"/>
              </a:solidFill>
              <a:round/>
            </a:ln>
            <a:effectLst/>
          </c:spPr>
          <c:marker>
            <c:symbol val="none"/>
          </c:marker>
          <c:xVal>
            <c:numRef>
              <c:f>'Pto Eq'!$C$5:$C$20</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Eq'!$E$5:$E$20</c:f>
              <c:numCache>
                <c:formatCode>#,##0</c:formatCode>
                <c:ptCount val="16"/>
                <c:pt idx="0">
                  <c:v>0</c:v>
                </c:pt>
                <c:pt idx="1">
                  <c:v>229775.35359844143</c:v>
                </c:pt>
                <c:pt idx="2">
                  <c:v>459550.70719688287</c:v>
                </c:pt>
                <c:pt idx="3">
                  <c:v>689326.06079532427</c:v>
                </c:pt>
                <c:pt idx="4">
                  <c:v>919101.41439376574</c:v>
                </c:pt>
                <c:pt idx="5">
                  <c:v>1148876.7679922071</c:v>
                </c:pt>
                <c:pt idx="6">
                  <c:v>1378652.1215906485</c:v>
                </c:pt>
                <c:pt idx="7">
                  <c:v>1608427.47518909</c:v>
                </c:pt>
                <c:pt idx="8">
                  <c:v>1838202.8287875315</c:v>
                </c:pt>
                <c:pt idx="9">
                  <c:v>2067978.1823859729</c:v>
                </c:pt>
                <c:pt idx="10">
                  <c:v>2297753.5359844142</c:v>
                </c:pt>
                <c:pt idx="11">
                  <c:v>2527528.8895828556</c:v>
                </c:pt>
                <c:pt idx="12">
                  <c:v>2757304.2431812971</c:v>
                </c:pt>
                <c:pt idx="13">
                  <c:v>2987079.5967797386</c:v>
                </c:pt>
                <c:pt idx="14">
                  <c:v>3216854.95037818</c:v>
                </c:pt>
                <c:pt idx="15">
                  <c:v>3446630.3039766215</c:v>
                </c:pt>
              </c:numCache>
            </c:numRef>
          </c:yVal>
          <c:smooth val="0"/>
          <c:extLst>
            <c:ext xmlns:c16="http://schemas.microsoft.com/office/drawing/2014/chart" uri="{C3380CC4-5D6E-409C-BE32-E72D297353CC}">
              <c16:uniqueId val="{00000001-879B-464C-9F33-A1DB558E1460}"/>
            </c:ext>
          </c:extLst>
        </c:ser>
        <c:ser>
          <c:idx val="2"/>
          <c:order val="2"/>
          <c:tx>
            <c:v>Costos Totales</c:v>
          </c:tx>
          <c:spPr>
            <a:ln w="19050" cap="rnd">
              <a:solidFill>
                <a:schemeClr val="accent3"/>
              </a:solidFill>
              <a:round/>
            </a:ln>
            <a:effectLst/>
          </c:spPr>
          <c:marker>
            <c:symbol val="none"/>
          </c:marker>
          <c:xVal>
            <c:numRef>
              <c:f>'Pto Eq'!$C$5:$C$20</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Eq'!$F$5:$F$20</c:f>
              <c:numCache>
                <c:formatCode>#,##0</c:formatCode>
                <c:ptCount val="16"/>
                <c:pt idx="0">
                  <c:v>5512137.9549408369</c:v>
                </c:pt>
                <c:pt idx="1">
                  <c:v>5741913.3085392779</c:v>
                </c:pt>
                <c:pt idx="2">
                  <c:v>5971688.6621377198</c:v>
                </c:pt>
                <c:pt idx="3">
                  <c:v>6201464.0157361608</c:v>
                </c:pt>
                <c:pt idx="4">
                  <c:v>6431239.3693346027</c:v>
                </c:pt>
                <c:pt idx="5">
                  <c:v>6661014.7229330437</c:v>
                </c:pt>
                <c:pt idx="6">
                  <c:v>6890790.0765314857</c:v>
                </c:pt>
                <c:pt idx="7">
                  <c:v>7120565.4301299267</c:v>
                </c:pt>
                <c:pt idx="8">
                  <c:v>7350340.7837283686</c:v>
                </c:pt>
                <c:pt idx="9">
                  <c:v>7580116.1373268096</c:v>
                </c:pt>
                <c:pt idx="10">
                  <c:v>7809891.4909252506</c:v>
                </c:pt>
                <c:pt idx="11">
                  <c:v>8039666.8445236925</c:v>
                </c:pt>
                <c:pt idx="12">
                  <c:v>8269442.1981221344</c:v>
                </c:pt>
                <c:pt idx="13">
                  <c:v>8499217.5517205745</c:v>
                </c:pt>
                <c:pt idx="14">
                  <c:v>8728992.9053190164</c:v>
                </c:pt>
                <c:pt idx="15">
                  <c:v>8958768.2589174584</c:v>
                </c:pt>
              </c:numCache>
            </c:numRef>
          </c:yVal>
          <c:smooth val="0"/>
          <c:extLst>
            <c:ext xmlns:c16="http://schemas.microsoft.com/office/drawing/2014/chart" uri="{C3380CC4-5D6E-409C-BE32-E72D297353CC}">
              <c16:uniqueId val="{00000002-879B-464C-9F33-A1DB558E1460}"/>
            </c:ext>
          </c:extLst>
        </c:ser>
        <c:ser>
          <c:idx val="3"/>
          <c:order val="3"/>
          <c:tx>
            <c:v>Ingresos por Ventas</c:v>
          </c:tx>
          <c:spPr>
            <a:ln w="19050" cap="rnd">
              <a:solidFill>
                <a:schemeClr val="accent4"/>
              </a:solidFill>
              <a:round/>
            </a:ln>
            <a:effectLst/>
          </c:spPr>
          <c:marker>
            <c:symbol val="none"/>
          </c:marker>
          <c:xVal>
            <c:numRef>
              <c:f>'Pto Eq'!$C$5:$C$20</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Eq'!$G$5:$G$20</c:f>
              <c:numCache>
                <c:formatCode>#,##0</c:formatCode>
                <c:ptCount val="16"/>
                <c:pt idx="0">
                  <c:v>0</c:v>
                </c:pt>
                <c:pt idx="1">
                  <c:v>900000</c:v>
                </c:pt>
                <c:pt idx="2">
                  <c:v>1800000</c:v>
                </c:pt>
                <c:pt idx="3">
                  <c:v>2700000</c:v>
                </c:pt>
                <c:pt idx="4">
                  <c:v>3600000</c:v>
                </c:pt>
                <c:pt idx="5">
                  <c:v>4500000</c:v>
                </c:pt>
                <c:pt idx="6">
                  <c:v>5400000</c:v>
                </c:pt>
                <c:pt idx="7">
                  <c:v>6300000</c:v>
                </c:pt>
                <c:pt idx="8">
                  <c:v>7200000</c:v>
                </c:pt>
                <c:pt idx="9">
                  <c:v>8100000</c:v>
                </c:pt>
                <c:pt idx="10">
                  <c:v>9000000</c:v>
                </c:pt>
                <c:pt idx="11">
                  <c:v>9900000</c:v>
                </c:pt>
                <c:pt idx="12">
                  <c:v>10800000</c:v>
                </c:pt>
                <c:pt idx="13">
                  <c:v>11700000</c:v>
                </c:pt>
                <c:pt idx="14">
                  <c:v>12600000</c:v>
                </c:pt>
                <c:pt idx="15">
                  <c:v>13500000</c:v>
                </c:pt>
              </c:numCache>
            </c:numRef>
          </c:yVal>
          <c:smooth val="0"/>
          <c:extLst>
            <c:ext xmlns:c16="http://schemas.microsoft.com/office/drawing/2014/chart" uri="{C3380CC4-5D6E-409C-BE32-E72D297353CC}">
              <c16:uniqueId val="{00000003-879B-464C-9F33-A1DB558E1460}"/>
            </c:ext>
          </c:extLst>
        </c:ser>
        <c:dLbls>
          <c:showLegendKey val="0"/>
          <c:showVal val="0"/>
          <c:showCatName val="0"/>
          <c:showSerName val="0"/>
          <c:showPercent val="0"/>
          <c:showBubbleSize val="0"/>
        </c:dLbls>
        <c:axId val="2062511167"/>
        <c:axId val="2062507423"/>
      </c:scatterChart>
      <c:valAx>
        <c:axId val="206251116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07423"/>
        <c:crosses val="autoZero"/>
        <c:crossBetween val="midCat"/>
        <c:majorUnit val="1000"/>
        <c:minorUnit val="500"/>
      </c:valAx>
      <c:valAx>
        <c:axId val="20625074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11167"/>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Punto de Equilibrio - Año 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scatterChart>
        <c:scatterStyle val="lineMarker"/>
        <c:varyColors val="0"/>
        <c:ser>
          <c:idx val="0"/>
          <c:order val="0"/>
          <c:tx>
            <c:v>Costos Fijos</c:v>
          </c:tx>
          <c:spPr>
            <a:ln w="19050" cap="rnd">
              <a:solidFill>
                <a:schemeClr val="accent1"/>
              </a:solidFill>
              <a:round/>
            </a:ln>
            <a:effectLst/>
          </c:spPr>
          <c:marker>
            <c:symbol val="none"/>
          </c:marker>
          <c:xVal>
            <c:numRef>
              <c:f>'Pto Eq'!$C$29:$C$44</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Eq'!$D$29:$D$44</c:f>
              <c:numCache>
                <c:formatCode>#,##0</c:formatCode>
                <c:ptCount val="16"/>
                <c:pt idx="0">
                  <c:v>5464236.8593556257</c:v>
                </c:pt>
                <c:pt idx="1">
                  <c:v>5464236.8593556257</c:v>
                </c:pt>
                <c:pt idx="2">
                  <c:v>5464236.8593556257</c:v>
                </c:pt>
                <c:pt idx="3">
                  <c:v>5464236.8593556257</c:v>
                </c:pt>
                <c:pt idx="4">
                  <c:v>5464236.8593556257</c:v>
                </c:pt>
                <c:pt idx="5">
                  <c:v>5464236.8593556257</c:v>
                </c:pt>
                <c:pt idx="6">
                  <c:v>5464236.8593556257</c:v>
                </c:pt>
                <c:pt idx="7">
                  <c:v>5464236.8593556257</c:v>
                </c:pt>
                <c:pt idx="8">
                  <c:v>5464236.8593556257</c:v>
                </c:pt>
                <c:pt idx="9">
                  <c:v>5464236.8593556257</c:v>
                </c:pt>
                <c:pt idx="10">
                  <c:v>5464236.8593556257</c:v>
                </c:pt>
                <c:pt idx="11">
                  <c:v>5464236.8593556257</c:v>
                </c:pt>
                <c:pt idx="12">
                  <c:v>5464236.8593556257</c:v>
                </c:pt>
                <c:pt idx="13">
                  <c:v>5464236.8593556257</c:v>
                </c:pt>
                <c:pt idx="14">
                  <c:v>5464236.8593556257</c:v>
                </c:pt>
                <c:pt idx="15">
                  <c:v>5464236.8593556257</c:v>
                </c:pt>
              </c:numCache>
            </c:numRef>
          </c:yVal>
          <c:smooth val="0"/>
          <c:extLst>
            <c:ext xmlns:c16="http://schemas.microsoft.com/office/drawing/2014/chart" uri="{C3380CC4-5D6E-409C-BE32-E72D297353CC}">
              <c16:uniqueId val="{00000000-7A8C-4985-902B-2B0A7AD9CB53}"/>
            </c:ext>
          </c:extLst>
        </c:ser>
        <c:ser>
          <c:idx val="1"/>
          <c:order val="1"/>
          <c:tx>
            <c:v>Costos Variables</c:v>
          </c:tx>
          <c:spPr>
            <a:ln w="19050" cap="rnd">
              <a:solidFill>
                <a:schemeClr val="accent2"/>
              </a:solidFill>
              <a:round/>
            </a:ln>
            <a:effectLst/>
          </c:spPr>
          <c:marker>
            <c:symbol val="none"/>
          </c:marker>
          <c:xVal>
            <c:numRef>
              <c:f>'Pto Eq'!$C$29:$C$44</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Eq'!$E$29:$E$44</c:f>
              <c:numCache>
                <c:formatCode>#,##0</c:formatCode>
                <c:ptCount val="16"/>
                <c:pt idx="0">
                  <c:v>0</c:v>
                </c:pt>
                <c:pt idx="1">
                  <c:v>290072.36468678288</c:v>
                </c:pt>
                <c:pt idx="2">
                  <c:v>580144.72937356576</c:v>
                </c:pt>
                <c:pt idx="3">
                  <c:v>870217.09406034858</c:v>
                </c:pt>
                <c:pt idx="4">
                  <c:v>1160289.4587471315</c:v>
                </c:pt>
                <c:pt idx="5">
                  <c:v>1450361.8234339142</c:v>
                </c:pt>
                <c:pt idx="6">
                  <c:v>1740434.1881206972</c:v>
                </c:pt>
                <c:pt idx="7">
                  <c:v>2030506.5528074801</c:v>
                </c:pt>
                <c:pt idx="8">
                  <c:v>2320578.917494263</c:v>
                </c:pt>
                <c:pt idx="9">
                  <c:v>2610651.282181046</c:v>
                </c:pt>
                <c:pt idx="10">
                  <c:v>2900723.6468678284</c:v>
                </c:pt>
                <c:pt idx="11">
                  <c:v>3190796.0115546114</c:v>
                </c:pt>
                <c:pt idx="12">
                  <c:v>3480868.3762413943</c:v>
                </c:pt>
                <c:pt idx="13">
                  <c:v>3770940.7409281773</c:v>
                </c:pt>
                <c:pt idx="14">
                  <c:v>4061013.1056149602</c:v>
                </c:pt>
                <c:pt idx="15">
                  <c:v>4351085.4703017427</c:v>
                </c:pt>
              </c:numCache>
            </c:numRef>
          </c:yVal>
          <c:smooth val="0"/>
          <c:extLst>
            <c:ext xmlns:c16="http://schemas.microsoft.com/office/drawing/2014/chart" uri="{C3380CC4-5D6E-409C-BE32-E72D297353CC}">
              <c16:uniqueId val="{00000001-7A8C-4985-902B-2B0A7AD9CB53}"/>
            </c:ext>
          </c:extLst>
        </c:ser>
        <c:ser>
          <c:idx val="2"/>
          <c:order val="2"/>
          <c:tx>
            <c:v>Costos Totales</c:v>
          </c:tx>
          <c:spPr>
            <a:ln w="19050" cap="rnd">
              <a:solidFill>
                <a:schemeClr val="accent3"/>
              </a:solidFill>
              <a:round/>
            </a:ln>
            <a:effectLst/>
          </c:spPr>
          <c:marker>
            <c:symbol val="none"/>
          </c:marker>
          <c:xVal>
            <c:numRef>
              <c:f>'Pto Eq'!$C$29:$C$44</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Eq'!$F$29:$F$44</c:f>
              <c:numCache>
                <c:formatCode>#,##0</c:formatCode>
                <c:ptCount val="16"/>
                <c:pt idx="0">
                  <c:v>5464236.8593556257</c:v>
                </c:pt>
                <c:pt idx="1">
                  <c:v>5754309.2240424082</c:v>
                </c:pt>
                <c:pt idx="2">
                  <c:v>6044381.5887291916</c:v>
                </c:pt>
                <c:pt idx="3">
                  <c:v>6334453.953415974</c:v>
                </c:pt>
                <c:pt idx="4">
                  <c:v>6624526.3181027574</c:v>
                </c:pt>
                <c:pt idx="5">
                  <c:v>6914598.6827895399</c:v>
                </c:pt>
                <c:pt idx="6">
                  <c:v>7204671.0474763233</c:v>
                </c:pt>
                <c:pt idx="7">
                  <c:v>7494743.4121631058</c:v>
                </c:pt>
                <c:pt idx="8">
                  <c:v>7784815.7768498883</c:v>
                </c:pt>
                <c:pt idx="9">
                  <c:v>8074888.1415366717</c:v>
                </c:pt>
                <c:pt idx="10">
                  <c:v>8364960.5062234541</c:v>
                </c:pt>
                <c:pt idx="11">
                  <c:v>8655032.8709102366</c:v>
                </c:pt>
                <c:pt idx="12">
                  <c:v>8945105.23559702</c:v>
                </c:pt>
                <c:pt idx="13">
                  <c:v>9235177.6002838034</c:v>
                </c:pt>
                <c:pt idx="14">
                  <c:v>9525249.964970585</c:v>
                </c:pt>
                <c:pt idx="15">
                  <c:v>9815322.3296573684</c:v>
                </c:pt>
              </c:numCache>
            </c:numRef>
          </c:yVal>
          <c:smooth val="0"/>
          <c:extLst>
            <c:ext xmlns:c16="http://schemas.microsoft.com/office/drawing/2014/chart" uri="{C3380CC4-5D6E-409C-BE32-E72D297353CC}">
              <c16:uniqueId val="{00000002-7A8C-4985-902B-2B0A7AD9CB53}"/>
            </c:ext>
          </c:extLst>
        </c:ser>
        <c:ser>
          <c:idx val="3"/>
          <c:order val="3"/>
          <c:tx>
            <c:v>Ingresos por Ventas</c:v>
          </c:tx>
          <c:spPr>
            <a:ln w="19050" cap="rnd">
              <a:solidFill>
                <a:schemeClr val="accent4"/>
              </a:solidFill>
              <a:round/>
            </a:ln>
            <a:effectLst/>
          </c:spPr>
          <c:marker>
            <c:symbol val="none"/>
          </c:marker>
          <c:xVal>
            <c:numRef>
              <c:f>'Pto Eq'!$C$29:$C$44</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Eq'!$G$29:$G$44</c:f>
              <c:numCache>
                <c:formatCode>#,##0</c:formatCode>
                <c:ptCount val="16"/>
                <c:pt idx="0">
                  <c:v>0</c:v>
                </c:pt>
                <c:pt idx="1">
                  <c:v>900000</c:v>
                </c:pt>
                <c:pt idx="2">
                  <c:v>1800000</c:v>
                </c:pt>
                <c:pt idx="3">
                  <c:v>2700000</c:v>
                </c:pt>
                <c:pt idx="4">
                  <c:v>3600000</c:v>
                </c:pt>
                <c:pt idx="5">
                  <c:v>4500000</c:v>
                </c:pt>
                <c:pt idx="6">
                  <c:v>5400000</c:v>
                </c:pt>
                <c:pt idx="7">
                  <c:v>6300000</c:v>
                </c:pt>
                <c:pt idx="8">
                  <c:v>7200000</c:v>
                </c:pt>
                <c:pt idx="9">
                  <c:v>8100000</c:v>
                </c:pt>
                <c:pt idx="10">
                  <c:v>9000000</c:v>
                </c:pt>
                <c:pt idx="11">
                  <c:v>9900000</c:v>
                </c:pt>
                <c:pt idx="12">
                  <c:v>10800000</c:v>
                </c:pt>
                <c:pt idx="13">
                  <c:v>11700000</c:v>
                </c:pt>
                <c:pt idx="14">
                  <c:v>12600000</c:v>
                </c:pt>
                <c:pt idx="15">
                  <c:v>13500000</c:v>
                </c:pt>
              </c:numCache>
            </c:numRef>
          </c:yVal>
          <c:smooth val="0"/>
          <c:extLst>
            <c:ext xmlns:c16="http://schemas.microsoft.com/office/drawing/2014/chart" uri="{C3380CC4-5D6E-409C-BE32-E72D297353CC}">
              <c16:uniqueId val="{00000003-7A8C-4985-902B-2B0A7AD9CB53}"/>
            </c:ext>
          </c:extLst>
        </c:ser>
        <c:dLbls>
          <c:showLegendKey val="0"/>
          <c:showVal val="0"/>
          <c:showCatName val="0"/>
          <c:showSerName val="0"/>
          <c:showPercent val="0"/>
          <c:showBubbleSize val="0"/>
        </c:dLbls>
        <c:axId val="2062511167"/>
        <c:axId val="2062507423"/>
      </c:scatterChart>
      <c:valAx>
        <c:axId val="206251116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07423"/>
        <c:crosses val="autoZero"/>
        <c:crossBetween val="midCat"/>
        <c:majorUnit val="1000"/>
        <c:minorUnit val="500"/>
      </c:valAx>
      <c:valAx>
        <c:axId val="20625074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11167"/>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Punto de Equilibrio - Año 10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scatterChart>
        <c:scatterStyle val="lineMarker"/>
        <c:varyColors val="0"/>
        <c:ser>
          <c:idx val="0"/>
          <c:order val="0"/>
          <c:tx>
            <c:v>Costos Fijos</c:v>
          </c:tx>
          <c:spPr>
            <a:ln w="19050" cap="rnd">
              <a:solidFill>
                <a:schemeClr val="accent1"/>
              </a:solidFill>
              <a:round/>
            </a:ln>
            <a:effectLst/>
          </c:spPr>
          <c:marker>
            <c:symbol val="none"/>
          </c:marker>
          <c:xVal>
            <c:numRef>
              <c:f>'Pto Eq'!$C$53:$C$68</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Eq'!$D$53:$D$68</c:f>
              <c:numCache>
                <c:formatCode>#,##0</c:formatCode>
                <c:ptCount val="16"/>
                <c:pt idx="0">
                  <c:v>4280360.8096624054</c:v>
                </c:pt>
                <c:pt idx="1">
                  <c:v>4280360.8096624054</c:v>
                </c:pt>
                <c:pt idx="2">
                  <c:v>4280360.8096624054</c:v>
                </c:pt>
                <c:pt idx="3">
                  <c:v>4280360.8096624054</c:v>
                </c:pt>
                <c:pt idx="4">
                  <c:v>4280360.8096624054</c:v>
                </c:pt>
                <c:pt idx="5">
                  <c:v>4280360.8096624054</c:v>
                </c:pt>
                <c:pt idx="6">
                  <c:v>4280360.8096624054</c:v>
                </c:pt>
                <c:pt idx="7">
                  <c:v>4280360.8096624054</c:v>
                </c:pt>
                <c:pt idx="8">
                  <c:v>4280360.8096624054</c:v>
                </c:pt>
                <c:pt idx="9">
                  <c:v>4280360.8096624054</c:v>
                </c:pt>
                <c:pt idx="10">
                  <c:v>4280360.8096624054</c:v>
                </c:pt>
                <c:pt idx="11">
                  <c:v>4280360.8096624054</c:v>
                </c:pt>
                <c:pt idx="12">
                  <c:v>4280360.8096624054</c:v>
                </c:pt>
                <c:pt idx="13">
                  <c:v>4280360.8096624054</c:v>
                </c:pt>
                <c:pt idx="14">
                  <c:v>4280360.8096624054</c:v>
                </c:pt>
                <c:pt idx="15">
                  <c:v>4280360.8096624054</c:v>
                </c:pt>
              </c:numCache>
            </c:numRef>
          </c:yVal>
          <c:smooth val="0"/>
          <c:extLst>
            <c:ext xmlns:c16="http://schemas.microsoft.com/office/drawing/2014/chart" uri="{C3380CC4-5D6E-409C-BE32-E72D297353CC}">
              <c16:uniqueId val="{00000000-2044-4C8A-8223-CFA7E401837D}"/>
            </c:ext>
          </c:extLst>
        </c:ser>
        <c:ser>
          <c:idx val="1"/>
          <c:order val="1"/>
          <c:tx>
            <c:v>Costos Variables</c:v>
          </c:tx>
          <c:spPr>
            <a:ln w="19050" cap="rnd">
              <a:solidFill>
                <a:schemeClr val="accent2"/>
              </a:solidFill>
              <a:round/>
            </a:ln>
            <a:effectLst/>
          </c:spPr>
          <c:marker>
            <c:symbol val="none"/>
          </c:marker>
          <c:xVal>
            <c:numRef>
              <c:f>'Pto Eq'!$C$53:$C$68</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Eq'!$E$53:$E$68</c:f>
              <c:numCache>
                <c:formatCode>#,##0</c:formatCode>
                <c:ptCount val="16"/>
                <c:pt idx="0">
                  <c:v>0</c:v>
                </c:pt>
                <c:pt idx="1">
                  <c:v>434677.72921031475</c:v>
                </c:pt>
                <c:pt idx="2">
                  <c:v>869355.4584206295</c:v>
                </c:pt>
                <c:pt idx="3">
                  <c:v>1304033.1876309442</c:v>
                </c:pt>
                <c:pt idx="4">
                  <c:v>1738710.916841259</c:v>
                </c:pt>
                <c:pt idx="5">
                  <c:v>2173388.6460515736</c:v>
                </c:pt>
                <c:pt idx="6">
                  <c:v>2608066.3752618884</c:v>
                </c:pt>
                <c:pt idx="7">
                  <c:v>3042744.1044722032</c:v>
                </c:pt>
                <c:pt idx="8">
                  <c:v>3477421.833682518</c:v>
                </c:pt>
                <c:pt idx="9">
                  <c:v>3912099.5628928328</c:v>
                </c:pt>
                <c:pt idx="10">
                  <c:v>4346777.2921031471</c:v>
                </c:pt>
                <c:pt idx="11">
                  <c:v>4781455.0213134624</c:v>
                </c:pt>
                <c:pt idx="12">
                  <c:v>5216132.7505237767</c:v>
                </c:pt>
                <c:pt idx="13">
                  <c:v>5650810.479734092</c:v>
                </c:pt>
                <c:pt idx="14">
                  <c:v>6085488.2089444064</c:v>
                </c:pt>
                <c:pt idx="15">
                  <c:v>6520165.9381547207</c:v>
                </c:pt>
              </c:numCache>
            </c:numRef>
          </c:yVal>
          <c:smooth val="0"/>
          <c:extLst>
            <c:ext xmlns:c16="http://schemas.microsoft.com/office/drawing/2014/chart" uri="{C3380CC4-5D6E-409C-BE32-E72D297353CC}">
              <c16:uniqueId val="{00000001-2044-4C8A-8223-CFA7E401837D}"/>
            </c:ext>
          </c:extLst>
        </c:ser>
        <c:ser>
          <c:idx val="2"/>
          <c:order val="2"/>
          <c:tx>
            <c:v>Costos Totales</c:v>
          </c:tx>
          <c:spPr>
            <a:ln w="19050" cap="rnd">
              <a:solidFill>
                <a:schemeClr val="accent3"/>
              </a:solidFill>
              <a:round/>
            </a:ln>
            <a:effectLst/>
          </c:spPr>
          <c:marker>
            <c:symbol val="none"/>
          </c:marker>
          <c:xVal>
            <c:numRef>
              <c:f>'Pto Eq'!$C$53:$C$68</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Eq'!$F$53:$F$68</c:f>
              <c:numCache>
                <c:formatCode>#,##0</c:formatCode>
                <c:ptCount val="16"/>
                <c:pt idx="0">
                  <c:v>4280360.8096624054</c:v>
                </c:pt>
                <c:pt idx="1">
                  <c:v>4715038.5388727197</c:v>
                </c:pt>
                <c:pt idx="2">
                  <c:v>5149716.268083035</c:v>
                </c:pt>
                <c:pt idx="3">
                  <c:v>5584393.9972933494</c:v>
                </c:pt>
                <c:pt idx="4">
                  <c:v>6019071.7265036646</c:v>
                </c:pt>
                <c:pt idx="5">
                  <c:v>6453749.455713979</c:v>
                </c:pt>
                <c:pt idx="6">
                  <c:v>6888427.1849242933</c:v>
                </c:pt>
                <c:pt idx="7">
                  <c:v>7323104.9141346086</c:v>
                </c:pt>
                <c:pt idx="8">
                  <c:v>7757782.6433449239</c:v>
                </c:pt>
                <c:pt idx="9">
                  <c:v>8192460.3725552382</c:v>
                </c:pt>
                <c:pt idx="10">
                  <c:v>8627138.1017655525</c:v>
                </c:pt>
                <c:pt idx="11">
                  <c:v>9061815.8309758678</c:v>
                </c:pt>
                <c:pt idx="12">
                  <c:v>9496493.5601861812</c:v>
                </c:pt>
                <c:pt idx="13">
                  <c:v>9931171.2893964984</c:v>
                </c:pt>
                <c:pt idx="14">
                  <c:v>10365849.018606812</c:v>
                </c:pt>
                <c:pt idx="15">
                  <c:v>10800526.747817125</c:v>
                </c:pt>
              </c:numCache>
            </c:numRef>
          </c:yVal>
          <c:smooth val="0"/>
          <c:extLst>
            <c:ext xmlns:c16="http://schemas.microsoft.com/office/drawing/2014/chart" uri="{C3380CC4-5D6E-409C-BE32-E72D297353CC}">
              <c16:uniqueId val="{00000002-2044-4C8A-8223-CFA7E401837D}"/>
            </c:ext>
          </c:extLst>
        </c:ser>
        <c:ser>
          <c:idx val="3"/>
          <c:order val="3"/>
          <c:tx>
            <c:v>Ingresos por Ventas</c:v>
          </c:tx>
          <c:spPr>
            <a:ln w="19050" cap="rnd">
              <a:solidFill>
                <a:schemeClr val="accent4"/>
              </a:solidFill>
              <a:round/>
            </a:ln>
            <a:effectLst/>
          </c:spPr>
          <c:marker>
            <c:symbol val="none"/>
          </c:marker>
          <c:xVal>
            <c:numRef>
              <c:f>'Pto Eq'!$C$53:$C$68</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Eq'!$G$53:$G$68</c:f>
              <c:numCache>
                <c:formatCode>#,##0</c:formatCode>
                <c:ptCount val="16"/>
                <c:pt idx="0">
                  <c:v>0</c:v>
                </c:pt>
                <c:pt idx="1">
                  <c:v>900000</c:v>
                </c:pt>
                <c:pt idx="2">
                  <c:v>1800000</c:v>
                </c:pt>
                <c:pt idx="3">
                  <c:v>2700000</c:v>
                </c:pt>
                <c:pt idx="4">
                  <c:v>3600000</c:v>
                </c:pt>
                <c:pt idx="5">
                  <c:v>4500000</c:v>
                </c:pt>
                <c:pt idx="6">
                  <c:v>5400000</c:v>
                </c:pt>
                <c:pt idx="7">
                  <c:v>6300000</c:v>
                </c:pt>
                <c:pt idx="8">
                  <c:v>7200000</c:v>
                </c:pt>
                <c:pt idx="9">
                  <c:v>8100000</c:v>
                </c:pt>
                <c:pt idx="10">
                  <c:v>9000000</c:v>
                </c:pt>
                <c:pt idx="11">
                  <c:v>9900000</c:v>
                </c:pt>
                <c:pt idx="12">
                  <c:v>10800000</c:v>
                </c:pt>
                <c:pt idx="13">
                  <c:v>11700000</c:v>
                </c:pt>
                <c:pt idx="14">
                  <c:v>12600000</c:v>
                </c:pt>
                <c:pt idx="15">
                  <c:v>13500000</c:v>
                </c:pt>
              </c:numCache>
            </c:numRef>
          </c:yVal>
          <c:smooth val="0"/>
          <c:extLst>
            <c:ext xmlns:c16="http://schemas.microsoft.com/office/drawing/2014/chart" uri="{C3380CC4-5D6E-409C-BE32-E72D297353CC}">
              <c16:uniqueId val="{00000003-2044-4C8A-8223-CFA7E401837D}"/>
            </c:ext>
          </c:extLst>
        </c:ser>
        <c:dLbls>
          <c:showLegendKey val="0"/>
          <c:showVal val="0"/>
          <c:showCatName val="0"/>
          <c:showSerName val="0"/>
          <c:showPercent val="0"/>
          <c:showBubbleSize val="0"/>
        </c:dLbls>
        <c:axId val="2062511167"/>
        <c:axId val="2062507423"/>
      </c:scatterChart>
      <c:valAx>
        <c:axId val="206251116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07423"/>
        <c:crosses val="autoZero"/>
        <c:crossBetween val="midCat"/>
        <c:majorUnit val="1000"/>
        <c:minorUnit val="500"/>
      </c:valAx>
      <c:valAx>
        <c:axId val="20625074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11167"/>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Punto de Equilibrio - Año 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scatterChart>
        <c:scatterStyle val="lineMarker"/>
        <c:varyColors val="0"/>
        <c:ser>
          <c:idx val="0"/>
          <c:order val="0"/>
          <c:tx>
            <c:v>CF</c:v>
          </c:tx>
          <c:spPr>
            <a:ln w="19050" cap="rnd">
              <a:solidFill>
                <a:schemeClr val="accent1"/>
              </a:solidFill>
              <a:round/>
            </a:ln>
            <a:effectLst/>
          </c:spPr>
          <c:marker>
            <c:symbol val="none"/>
          </c:marker>
          <c:xVal>
            <c:numRef>
              <c:f>'Pto Eq'!$Y$5:$Y$20</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Eq'!$Z$5:$Z$20</c:f>
              <c:numCache>
                <c:formatCode>#,##0</c:formatCode>
                <c:ptCount val="16"/>
                <c:pt idx="0">
                  <c:v>6137353.4900708366</c:v>
                </c:pt>
                <c:pt idx="1">
                  <c:v>6137353.4900708366</c:v>
                </c:pt>
                <c:pt idx="2">
                  <c:v>6137353.4900708366</c:v>
                </c:pt>
                <c:pt idx="3">
                  <c:v>6137353.4900708366</c:v>
                </c:pt>
                <c:pt idx="4">
                  <c:v>6137353.4900708366</c:v>
                </c:pt>
                <c:pt idx="5">
                  <c:v>6137353.4900708366</c:v>
                </c:pt>
                <c:pt idx="6">
                  <c:v>6137353.4900708366</c:v>
                </c:pt>
                <c:pt idx="7">
                  <c:v>6137353.4900708366</c:v>
                </c:pt>
                <c:pt idx="8">
                  <c:v>6137353.4900708366</c:v>
                </c:pt>
                <c:pt idx="9">
                  <c:v>6137353.4900708366</c:v>
                </c:pt>
                <c:pt idx="10">
                  <c:v>6137353.4900708366</c:v>
                </c:pt>
                <c:pt idx="11">
                  <c:v>6137353.4900708366</c:v>
                </c:pt>
                <c:pt idx="12">
                  <c:v>6137353.4900708366</c:v>
                </c:pt>
                <c:pt idx="13">
                  <c:v>6137353.4900708366</c:v>
                </c:pt>
                <c:pt idx="14">
                  <c:v>6137353.4900708366</c:v>
                </c:pt>
                <c:pt idx="15">
                  <c:v>6137353.4900708366</c:v>
                </c:pt>
              </c:numCache>
            </c:numRef>
          </c:yVal>
          <c:smooth val="0"/>
          <c:extLst>
            <c:ext xmlns:c16="http://schemas.microsoft.com/office/drawing/2014/chart" uri="{C3380CC4-5D6E-409C-BE32-E72D297353CC}">
              <c16:uniqueId val="{00000000-737E-4E25-A34F-B2A56CD8D1BB}"/>
            </c:ext>
          </c:extLst>
        </c:ser>
        <c:ser>
          <c:idx val="1"/>
          <c:order val="1"/>
          <c:tx>
            <c:v>CV</c:v>
          </c:tx>
          <c:spPr>
            <a:ln w="19050" cap="rnd">
              <a:solidFill>
                <a:schemeClr val="accent2"/>
              </a:solidFill>
              <a:round/>
            </a:ln>
            <a:effectLst/>
          </c:spPr>
          <c:marker>
            <c:symbol val="none"/>
          </c:marker>
          <c:xVal>
            <c:numRef>
              <c:f>'Pto Eq'!$Y$5:$Y$20</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Eq'!$AA$5:$AA$20</c:f>
              <c:numCache>
                <c:formatCode>#,##0</c:formatCode>
                <c:ptCount val="16"/>
                <c:pt idx="0">
                  <c:v>0</c:v>
                </c:pt>
                <c:pt idx="1">
                  <c:v>229775.35359844143</c:v>
                </c:pt>
                <c:pt idx="2">
                  <c:v>459550.70719688287</c:v>
                </c:pt>
                <c:pt idx="3">
                  <c:v>689326.06079532427</c:v>
                </c:pt>
                <c:pt idx="4">
                  <c:v>919101.41439376574</c:v>
                </c:pt>
                <c:pt idx="5">
                  <c:v>1148876.7679922071</c:v>
                </c:pt>
                <c:pt idx="6">
                  <c:v>1378652.1215906485</c:v>
                </c:pt>
                <c:pt idx="7">
                  <c:v>1608427.47518909</c:v>
                </c:pt>
                <c:pt idx="8">
                  <c:v>1838202.8287875315</c:v>
                </c:pt>
                <c:pt idx="9">
                  <c:v>2067978.1823859729</c:v>
                </c:pt>
                <c:pt idx="10">
                  <c:v>2297753.5359844142</c:v>
                </c:pt>
                <c:pt idx="11">
                  <c:v>2527528.8895828556</c:v>
                </c:pt>
                <c:pt idx="12">
                  <c:v>2757304.2431812971</c:v>
                </c:pt>
                <c:pt idx="13">
                  <c:v>2987079.5967797386</c:v>
                </c:pt>
                <c:pt idx="14">
                  <c:v>3216854.95037818</c:v>
                </c:pt>
                <c:pt idx="15">
                  <c:v>3446630.3039766215</c:v>
                </c:pt>
              </c:numCache>
            </c:numRef>
          </c:yVal>
          <c:smooth val="0"/>
          <c:extLst>
            <c:ext xmlns:c16="http://schemas.microsoft.com/office/drawing/2014/chart" uri="{C3380CC4-5D6E-409C-BE32-E72D297353CC}">
              <c16:uniqueId val="{00000001-737E-4E25-A34F-B2A56CD8D1BB}"/>
            </c:ext>
          </c:extLst>
        </c:ser>
        <c:ser>
          <c:idx val="2"/>
          <c:order val="2"/>
          <c:tx>
            <c:v>CT</c:v>
          </c:tx>
          <c:spPr>
            <a:ln w="19050" cap="rnd">
              <a:solidFill>
                <a:schemeClr val="accent3"/>
              </a:solidFill>
              <a:round/>
            </a:ln>
            <a:effectLst/>
          </c:spPr>
          <c:marker>
            <c:symbol val="none"/>
          </c:marker>
          <c:xVal>
            <c:numRef>
              <c:f>'Pto Eq'!$Y$5:$Y$20</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Eq'!$AB$5:$AB$20</c:f>
              <c:numCache>
                <c:formatCode>#,##0</c:formatCode>
                <c:ptCount val="16"/>
                <c:pt idx="0">
                  <c:v>6137353.4900708366</c:v>
                </c:pt>
                <c:pt idx="1">
                  <c:v>6367128.8436692776</c:v>
                </c:pt>
                <c:pt idx="2">
                  <c:v>6596904.1972677195</c:v>
                </c:pt>
                <c:pt idx="3">
                  <c:v>6826679.5508661605</c:v>
                </c:pt>
                <c:pt idx="4">
                  <c:v>7056454.9044646025</c:v>
                </c:pt>
                <c:pt idx="5">
                  <c:v>7286230.2580630435</c:v>
                </c:pt>
                <c:pt idx="6">
                  <c:v>7516005.6116614854</c:v>
                </c:pt>
                <c:pt idx="7">
                  <c:v>7745780.9652599264</c:v>
                </c:pt>
                <c:pt idx="8">
                  <c:v>7975556.3188583683</c:v>
                </c:pt>
                <c:pt idx="9">
                  <c:v>8205331.6724568093</c:v>
                </c:pt>
                <c:pt idx="10">
                  <c:v>8435107.0260552503</c:v>
                </c:pt>
                <c:pt idx="11">
                  <c:v>8664882.3796536922</c:v>
                </c:pt>
                <c:pt idx="12">
                  <c:v>8894657.7332521342</c:v>
                </c:pt>
                <c:pt idx="13">
                  <c:v>9124433.0868505761</c:v>
                </c:pt>
                <c:pt idx="14">
                  <c:v>9354208.4404490162</c:v>
                </c:pt>
                <c:pt idx="15">
                  <c:v>9583983.7940474581</c:v>
                </c:pt>
              </c:numCache>
            </c:numRef>
          </c:yVal>
          <c:smooth val="0"/>
          <c:extLst>
            <c:ext xmlns:c16="http://schemas.microsoft.com/office/drawing/2014/chart" uri="{C3380CC4-5D6E-409C-BE32-E72D297353CC}">
              <c16:uniqueId val="{00000002-737E-4E25-A34F-B2A56CD8D1BB}"/>
            </c:ext>
          </c:extLst>
        </c:ser>
        <c:ser>
          <c:idx val="3"/>
          <c:order val="3"/>
          <c:tx>
            <c:v>IV</c:v>
          </c:tx>
          <c:spPr>
            <a:ln w="19050" cap="rnd">
              <a:solidFill>
                <a:schemeClr val="accent4"/>
              </a:solidFill>
              <a:round/>
            </a:ln>
            <a:effectLst/>
          </c:spPr>
          <c:marker>
            <c:symbol val="none"/>
          </c:marker>
          <c:xVal>
            <c:numRef>
              <c:f>'Pto Eq'!$Y$5:$Y$20</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Eq'!$AC$5:$AC$20</c:f>
              <c:numCache>
                <c:formatCode>#,##0</c:formatCode>
                <c:ptCount val="16"/>
                <c:pt idx="0">
                  <c:v>0</c:v>
                </c:pt>
                <c:pt idx="1">
                  <c:v>900000</c:v>
                </c:pt>
                <c:pt idx="2">
                  <c:v>1800000</c:v>
                </c:pt>
                <c:pt idx="3">
                  <c:v>2700000</c:v>
                </c:pt>
                <c:pt idx="4">
                  <c:v>3600000</c:v>
                </c:pt>
                <c:pt idx="5">
                  <c:v>4500000</c:v>
                </c:pt>
                <c:pt idx="6">
                  <c:v>5400000</c:v>
                </c:pt>
                <c:pt idx="7">
                  <c:v>6300000</c:v>
                </c:pt>
                <c:pt idx="8">
                  <c:v>7200000</c:v>
                </c:pt>
                <c:pt idx="9">
                  <c:v>8100000</c:v>
                </c:pt>
                <c:pt idx="10">
                  <c:v>9000000</c:v>
                </c:pt>
                <c:pt idx="11">
                  <c:v>9900000</c:v>
                </c:pt>
                <c:pt idx="12">
                  <c:v>10800000</c:v>
                </c:pt>
                <c:pt idx="13">
                  <c:v>11700000</c:v>
                </c:pt>
                <c:pt idx="14">
                  <c:v>12600000</c:v>
                </c:pt>
                <c:pt idx="15">
                  <c:v>13500000</c:v>
                </c:pt>
              </c:numCache>
            </c:numRef>
          </c:yVal>
          <c:smooth val="0"/>
          <c:extLst>
            <c:ext xmlns:c16="http://schemas.microsoft.com/office/drawing/2014/chart" uri="{C3380CC4-5D6E-409C-BE32-E72D297353CC}">
              <c16:uniqueId val="{00000003-737E-4E25-A34F-B2A56CD8D1BB}"/>
            </c:ext>
          </c:extLst>
        </c:ser>
        <c:dLbls>
          <c:showLegendKey val="0"/>
          <c:showVal val="0"/>
          <c:showCatName val="0"/>
          <c:showSerName val="0"/>
          <c:showPercent val="0"/>
          <c:showBubbleSize val="0"/>
        </c:dLbls>
        <c:axId val="2062511167"/>
        <c:axId val="2062507423"/>
      </c:scatterChart>
      <c:valAx>
        <c:axId val="206251116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07423"/>
        <c:crosses val="autoZero"/>
        <c:crossBetween val="midCat"/>
        <c:majorUnit val="1000"/>
        <c:minorUnit val="500"/>
      </c:valAx>
      <c:valAx>
        <c:axId val="20625074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11167"/>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Punto de Equilibrio - Año 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scatterChart>
        <c:scatterStyle val="lineMarker"/>
        <c:varyColors val="0"/>
        <c:ser>
          <c:idx val="0"/>
          <c:order val="0"/>
          <c:tx>
            <c:v>CF</c:v>
          </c:tx>
          <c:spPr>
            <a:ln w="19050" cap="rnd">
              <a:solidFill>
                <a:schemeClr val="accent1"/>
              </a:solidFill>
              <a:round/>
            </a:ln>
            <a:effectLst/>
          </c:spPr>
          <c:marker>
            <c:symbol val="none"/>
          </c:marker>
          <c:xVal>
            <c:numRef>
              <c:f>'Pto Eq'!$Y$29:$Y$44</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Eq'!$Z$29:$Z$44</c:f>
              <c:numCache>
                <c:formatCode>#,##0</c:formatCode>
                <c:ptCount val="16"/>
                <c:pt idx="0">
                  <c:v>5963576.360851625</c:v>
                </c:pt>
                <c:pt idx="1">
                  <c:v>5963576.360851625</c:v>
                </c:pt>
                <c:pt idx="2">
                  <c:v>5963576.360851625</c:v>
                </c:pt>
                <c:pt idx="3">
                  <c:v>5963576.360851625</c:v>
                </c:pt>
                <c:pt idx="4">
                  <c:v>5963576.360851625</c:v>
                </c:pt>
                <c:pt idx="5">
                  <c:v>5963576.360851625</c:v>
                </c:pt>
                <c:pt idx="6">
                  <c:v>5963576.360851625</c:v>
                </c:pt>
                <c:pt idx="7">
                  <c:v>5963576.360851625</c:v>
                </c:pt>
                <c:pt idx="8">
                  <c:v>5963576.360851625</c:v>
                </c:pt>
                <c:pt idx="9">
                  <c:v>5963576.360851625</c:v>
                </c:pt>
                <c:pt idx="10">
                  <c:v>5963576.360851625</c:v>
                </c:pt>
                <c:pt idx="11">
                  <c:v>5963576.360851625</c:v>
                </c:pt>
                <c:pt idx="12">
                  <c:v>5963576.360851625</c:v>
                </c:pt>
                <c:pt idx="13">
                  <c:v>5963576.360851625</c:v>
                </c:pt>
                <c:pt idx="14">
                  <c:v>5963576.360851625</c:v>
                </c:pt>
                <c:pt idx="15">
                  <c:v>5963576.360851625</c:v>
                </c:pt>
              </c:numCache>
            </c:numRef>
          </c:yVal>
          <c:smooth val="0"/>
          <c:extLst>
            <c:ext xmlns:c16="http://schemas.microsoft.com/office/drawing/2014/chart" uri="{C3380CC4-5D6E-409C-BE32-E72D297353CC}">
              <c16:uniqueId val="{00000000-203F-4431-AA98-4A6FAE95C0A4}"/>
            </c:ext>
          </c:extLst>
        </c:ser>
        <c:ser>
          <c:idx val="1"/>
          <c:order val="1"/>
          <c:tx>
            <c:v>CV</c:v>
          </c:tx>
          <c:spPr>
            <a:ln w="19050" cap="rnd">
              <a:solidFill>
                <a:schemeClr val="accent2"/>
              </a:solidFill>
              <a:round/>
            </a:ln>
            <a:effectLst/>
          </c:spPr>
          <c:marker>
            <c:symbol val="none"/>
          </c:marker>
          <c:xVal>
            <c:numRef>
              <c:f>'Pto Eq'!$Y$29:$Y$44</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Eq'!$AA$29:$AA$44</c:f>
              <c:numCache>
                <c:formatCode>#,##0</c:formatCode>
                <c:ptCount val="16"/>
                <c:pt idx="0">
                  <c:v>0</c:v>
                </c:pt>
                <c:pt idx="1">
                  <c:v>290072.36468678288</c:v>
                </c:pt>
                <c:pt idx="2">
                  <c:v>580144.72937356576</c:v>
                </c:pt>
                <c:pt idx="3">
                  <c:v>870217.09406034858</c:v>
                </c:pt>
                <c:pt idx="4">
                  <c:v>1160289.4587471315</c:v>
                </c:pt>
                <c:pt idx="5">
                  <c:v>1450361.8234339142</c:v>
                </c:pt>
                <c:pt idx="6">
                  <c:v>1740434.1881206972</c:v>
                </c:pt>
                <c:pt idx="7">
                  <c:v>2030506.5528074801</c:v>
                </c:pt>
                <c:pt idx="8">
                  <c:v>2320578.917494263</c:v>
                </c:pt>
                <c:pt idx="9">
                  <c:v>2610651.282181046</c:v>
                </c:pt>
                <c:pt idx="10">
                  <c:v>2900723.6468678284</c:v>
                </c:pt>
                <c:pt idx="11">
                  <c:v>3190796.0115546114</c:v>
                </c:pt>
                <c:pt idx="12">
                  <c:v>3480868.3762413943</c:v>
                </c:pt>
                <c:pt idx="13">
                  <c:v>3770940.7409281773</c:v>
                </c:pt>
                <c:pt idx="14">
                  <c:v>4061013.1056149602</c:v>
                </c:pt>
                <c:pt idx="15">
                  <c:v>4351085.4703017427</c:v>
                </c:pt>
              </c:numCache>
            </c:numRef>
          </c:yVal>
          <c:smooth val="0"/>
          <c:extLst>
            <c:ext xmlns:c16="http://schemas.microsoft.com/office/drawing/2014/chart" uri="{C3380CC4-5D6E-409C-BE32-E72D297353CC}">
              <c16:uniqueId val="{00000001-203F-4431-AA98-4A6FAE95C0A4}"/>
            </c:ext>
          </c:extLst>
        </c:ser>
        <c:ser>
          <c:idx val="2"/>
          <c:order val="2"/>
          <c:tx>
            <c:v>CT</c:v>
          </c:tx>
          <c:spPr>
            <a:ln w="19050" cap="rnd">
              <a:solidFill>
                <a:schemeClr val="accent3"/>
              </a:solidFill>
              <a:round/>
            </a:ln>
            <a:effectLst/>
          </c:spPr>
          <c:marker>
            <c:symbol val="none"/>
          </c:marker>
          <c:xVal>
            <c:numRef>
              <c:f>'Pto Eq'!$Y$29:$Y$44</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Eq'!$AB$29:$AB$44</c:f>
              <c:numCache>
                <c:formatCode>#,##0</c:formatCode>
                <c:ptCount val="16"/>
                <c:pt idx="0">
                  <c:v>5963576.360851625</c:v>
                </c:pt>
                <c:pt idx="1">
                  <c:v>6253648.7255384075</c:v>
                </c:pt>
                <c:pt idx="2">
                  <c:v>6543721.0902251909</c:v>
                </c:pt>
                <c:pt idx="3">
                  <c:v>6833793.4549119733</c:v>
                </c:pt>
                <c:pt idx="4">
                  <c:v>7123865.8195987567</c:v>
                </c:pt>
                <c:pt idx="5">
                  <c:v>7413938.1842855392</c:v>
                </c:pt>
                <c:pt idx="6">
                  <c:v>7704010.5489723217</c:v>
                </c:pt>
                <c:pt idx="7">
                  <c:v>7994082.9136591051</c:v>
                </c:pt>
                <c:pt idx="8">
                  <c:v>8284155.2783458885</c:v>
                </c:pt>
                <c:pt idx="9">
                  <c:v>8574227.64303267</c:v>
                </c:pt>
                <c:pt idx="10">
                  <c:v>8864300.0077194534</c:v>
                </c:pt>
                <c:pt idx="11">
                  <c:v>9154372.3724062368</c:v>
                </c:pt>
                <c:pt idx="12">
                  <c:v>9444444.7370930202</c:v>
                </c:pt>
                <c:pt idx="13">
                  <c:v>9734517.1017798018</c:v>
                </c:pt>
                <c:pt idx="14">
                  <c:v>10024589.466466585</c:v>
                </c:pt>
                <c:pt idx="15">
                  <c:v>10314661.831153367</c:v>
                </c:pt>
              </c:numCache>
            </c:numRef>
          </c:yVal>
          <c:smooth val="0"/>
          <c:extLst>
            <c:ext xmlns:c16="http://schemas.microsoft.com/office/drawing/2014/chart" uri="{C3380CC4-5D6E-409C-BE32-E72D297353CC}">
              <c16:uniqueId val="{00000002-203F-4431-AA98-4A6FAE95C0A4}"/>
            </c:ext>
          </c:extLst>
        </c:ser>
        <c:ser>
          <c:idx val="3"/>
          <c:order val="3"/>
          <c:tx>
            <c:v>IV</c:v>
          </c:tx>
          <c:spPr>
            <a:ln w="19050" cap="rnd">
              <a:solidFill>
                <a:schemeClr val="accent4"/>
              </a:solidFill>
              <a:round/>
            </a:ln>
            <a:effectLst/>
          </c:spPr>
          <c:marker>
            <c:symbol val="none"/>
          </c:marker>
          <c:xVal>
            <c:numRef>
              <c:f>'Pto Eq'!$Y$29:$Y$44</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Eq'!$AC$29:$AC$44</c:f>
              <c:numCache>
                <c:formatCode>#,##0</c:formatCode>
                <c:ptCount val="16"/>
                <c:pt idx="0">
                  <c:v>0</c:v>
                </c:pt>
                <c:pt idx="1">
                  <c:v>900000</c:v>
                </c:pt>
                <c:pt idx="2">
                  <c:v>1800000</c:v>
                </c:pt>
                <c:pt idx="3">
                  <c:v>2700000</c:v>
                </c:pt>
                <c:pt idx="4">
                  <c:v>3600000</c:v>
                </c:pt>
                <c:pt idx="5">
                  <c:v>4500000</c:v>
                </c:pt>
                <c:pt idx="6">
                  <c:v>5400000</c:v>
                </c:pt>
                <c:pt idx="7">
                  <c:v>6300000</c:v>
                </c:pt>
                <c:pt idx="8">
                  <c:v>7200000</c:v>
                </c:pt>
                <c:pt idx="9">
                  <c:v>8100000</c:v>
                </c:pt>
                <c:pt idx="10">
                  <c:v>9000000</c:v>
                </c:pt>
                <c:pt idx="11">
                  <c:v>9900000</c:v>
                </c:pt>
                <c:pt idx="12">
                  <c:v>10800000</c:v>
                </c:pt>
                <c:pt idx="13">
                  <c:v>11700000</c:v>
                </c:pt>
                <c:pt idx="14">
                  <c:v>12600000</c:v>
                </c:pt>
                <c:pt idx="15">
                  <c:v>13500000</c:v>
                </c:pt>
              </c:numCache>
            </c:numRef>
          </c:yVal>
          <c:smooth val="0"/>
          <c:extLst>
            <c:ext xmlns:c16="http://schemas.microsoft.com/office/drawing/2014/chart" uri="{C3380CC4-5D6E-409C-BE32-E72D297353CC}">
              <c16:uniqueId val="{00000003-203F-4431-AA98-4A6FAE95C0A4}"/>
            </c:ext>
          </c:extLst>
        </c:ser>
        <c:dLbls>
          <c:showLegendKey val="0"/>
          <c:showVal val="0"/>
          <c:showCatName val="0"/>
          <c:showSerName val="0"/>
          <c:showPercent val="0"/>
          <c:showBubbleSize val="0"/>
        </c:dLbls>
        <c:axId val="2062511167"/>
        <c:axId val="2062507423"/>
      </c:scatterChart>
      <c:valAx>
        <c:axId val="206251116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07423"/>
        <c:crosses val="autoZero"/>
        <c:crossBetween val="midCat"/>
        <c:majorUnit val="1000"/>
        <c:minorUnit val="500"/>
      </c:valAx>
      <c:valAx>
        <c:axId val="20625074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11167"/>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Punto de Equilibrio - Año 10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scatterChart>
        <c:scatterStyle val="lineMarker"/>
        <c:varyColors val="0"/>
        <c:ser>
          <c:idx val="0"/>
          <c:order val="0"/>
          <c:tx>
            <c:v>CF</c:v>
          </c:tx>
          <c:spPr>
            <a:ln w="19050" cap="rnd">
              <a:solidFill>
                <a:schemeClr val="accent1"/>
              </a:solidFill>
              <a:round/>
            </a:ln>
            <a:effectLst/>
          </c:spPr>
          <c:marker>
            <c:symbol val="none"/>
          </c:marker>
          <c:xVal>
            <c:numRef>
              <c:f>'Pto Eq'!$Y$53:$Y$68</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Eq'!$Z$53:$Z$68</c:f>
              <c:numCache>
                <c:formatCode>#,##0</c:formatCode>
                <c:ptCount val="16"/>
                <c:pt idx="0">
                  <c:v>4338925.9617874054</c:v>
                </c:pt>
                <c:pt idx="1">
                  <c:v>4338925.9617874054</c:v>
                </c:pt>
                <c:pt idx="2">
                  <c:v>4338925.9617874054</c:v>
                </c:pt>
                <c:pt idx="3">
                  <c:v>4338925.9617874054</c:v>
                </c:pt>
                <c:pt idx="4">
                  <c:v>4338925.9617874054</c:v>
                </c:pt>
                <c:pt idx="5">
                  <c:v>4338925.9617874054</c:v>
                </c:pt>
                <c:pt idx="6">
                  <c:v>4338925.9617874054</c:v>
                </c:pt>
                <c:pt idx="7">
                  <c:v>4338925.9617874054</c:v>
                </c:pt>
                <c:pt idx="8">
                  <c:v>4338925.9617874054</c:v>
                </c:pt>
                <c:pt idx="9">
                  <c:v>4338925.9617874054</c:v>
                </c:pt>
                <c:pt idx="10">
                  <c:v>4338925.9617874054</c:v>
                </c:pt>
                <c:pt idx="11">
                  <c:v>4338925.9617874054</c:v>
                </c:pt>
                <c:pt idx="12">
                  <c:v>4338925.9617874054</c:v>
                </c:pt>
                <c:pt idx="13">
                  <c:v>4338925.9617874054</c:v>
                </c:pt>
                <c:pt idx="14">
                  <c:v>4338925.9617874054</c:v>
                </c:pt>
                <c:pt idx="15">
                  <c:v>4338925.9617874054</c:v>
                </c:pt>
              </c:numCache>
            </c:numRef>
          </c:yVal>
          <c:smooth val="0"/>
          <c:extLst>
            <c:ext xmlns:c16="http://schemas.microsoft.com/office/drawing/2014/chart" uri="{C3380CC4-5D6E-409C-BE32-E72D297353CC}">
              <c16:uniqueId val="{00000000-7F86-46A4-87B3-F3513EBD582F}"/>
            </c:ext>
          </c:extLst>
        </c:ser>
        <c:ser>
          <c:idx val="1"/>
          <c:order val="1"/>
          <c:tx>
            <c:v>CV</c:v>
          </c:tx>
          <c:spPr>
            <a:ln w="19050" cap="rnd">
              <a:solidFill>
                <a:schemeClr val="accent2"/>
              </a:solidFill>
              <a:round/>
            </a:ln>
            <a:effectLst/>
          </c:spPr>
          <c:marker>
            <c:symbol val="none"/>
          </c:marker>
          <c:xVal>
            <c:numRef>
              <c:f>'Pto Eq'!$Y$53:$Y$68</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Eq'!$AA$53:$AA$68</c:f>
              <c:numCache>
                <c:formatCode>#,##0</c:formatCode>
                <c:ptCount val="16"/>
                <c:pt idx="0">
                  <c:v>0</c:v>
                </c:pt>
                <c:pt idx="1">
                  <c:v>434677.72921031475</c:v>
                </c:pt>
                <c:pt idx="2">
                  <c:v>869355.4584206295</c:v>
                </c:pt>
                <c:pt idx="3">
                  <c:v>1304033.1876309442</c:v>
                </c:pt>
                <c:pt idx="4">
                  <c:v>1738710.916841259</c:v>
                </c:pt>
                <c:pt idx="5">
                  <c:v>2173388.6460515736</c:v>
                </c:pt>
                <c:pt idx="6">
                  <c:v>2608066.3752618884</c:v>
                </c:pt>
                <c:pt idx="7">
                  <c:v>3042744.1044722032</c:v>
                </c:pt>
                <c:pt idx="8">
                  <c:v>3477421.833682518</c:v>
                </c:pt>
                <c:pt idx="9">
                  <c:v>3912099.5628928328</c:v>
                </c:pt>
                <c:pt idx="10">
                  <c:v>4346777.2921031471</c:v>
                </c:pt>
                <c:pt idx="11">
                  <c:v>4781455.0213134624</c:v>
                </c:pt>
                <c:pt idx="12">
                  <c:v>5216132.7505237767</c:v>
                </c:pt>
                <c:pt idx="13">
                  <c:v>5650810.479734092</c:v>
                </c:pt>
                <c:pt idx="14">
                  <c:v>6085488.2089444064</c:v>
                </c:pt>
                <c:pt idx="15">
                  <c:v>6520165.9381547207</c:v>
                </c:pt>
              </c:numCache>
            </c:numRef>
          </c:yVal>
          <c:smooth val="0"/>
          <c:extLst>
            <c:ext xmlns:c16="http://schemas.microsoft.com/office/drawing/2014/chart" uri="{C3380CC4-5D6E-409C-BE32-E72D297353CC}">
              <c16:uniqueId val="{00000001-7F86-46A4-87B3-F3513EBD582F}"/>
            </c:ext>
          </c:extLst>
        </c:ser>
        <c:ser>
          <c:idx val="2"/>
          <c:order val="2"/>
          <c:tx>
            <c:v>CT</c:v>
          </c:tx>
          <c:spPr>
            <a:ln w="19050" cap="rnd">
              <a:solidFill>
                <a:schemeClr val="accent3"/>
              </a:solidFill>
              <a:round/>
            </a:ln>
            <a:effectLst/>
          </c:spPr>
          <c:marker>
            <c:symbol val="none"/>
          </c:marker>
          <c:xVal>
            <c:numRef>
              <c:f>'Pto Eq'!$Y$53:$Y$68</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Eq'!$AB$53:$AB$68</c:f>
              <c:numCache>
                <c:formatCode>#,##0</c:formatCode>
                <c:ptCount val="16"/>
                <c:pt idx="0">
                  <c:v>4338925.9617874054</c:v>
                </c:pt>
                <c:pt idx="1">
                  <c:v>4773603.6909977198</c:v>
                </c:pt>
                <c:pt idx="2">
                  <c:v>5208281.420208035</c:v>
                </c:pt>
                <c:pt idx="3">
                  <c:v>5642959.1494183494</c:v>
                </c:pt>
                <c:pt idx="4">
                  <c:v>6077636.8786286647</c:v>
                </c:pt>
                <c:pt idx="5">
                  <c:v>6512314.607838979</c:v>
                </c:pt>
                <c:pt idx="6">
                  <c:v>6946992.3370492943</c:v>
                </c:pt>
                <c:pt idx="7">
                  <c:v>7381670.0662596086</c:v>
                </c:pt>
                <c:pt idx="8">
                  <c:v>7816347.7954699229</c:v>
                </c:pt>
                <c:pt idx="9">
                  <c:v>8251025.5246802382</c:v>
                </c:pt>
                <c:pt idx="10">
                  <c:v>8685703.2538905516</c:v>
                </c:pt>
                <c:pt idx="11">
                  <c:v>9120380.9831008688</c:v>
                </c:pt>
                <c:pt idx="12">
                  <c:v>9555058.7123111822</c:v>
                </c:pt>
                <c:pt idx="13">
                  <c:v>9989736.4415214974</c:v>
                </c:pt>
                <c:pt idx="14">
                  <c:v>10424414.170731813</c:v>
                </c:pt>
                <c:pt idx="15">
                  <c:v>10859091.899942126</c:v>
                </c:pt>
              </c:numCache>
            </c:numRef>
          </c:yVal>
          <c:smooth val="0"/>
          <c:extLst>
            <c:ext xmlns:c16="http://schemas.microsoft.com/office/drawing/2014/chart" uri="{C3380CC4-5D6E-409C-BE32-E72D297353CC}">
              <c16:uniqueId val="{00000002-7F86-46A4-87B3-F3513EBD582F}"/>
            </c:ext>
          </c:extLst>
        </c:ser>
        <c:ser>
          <c:idx val="3"/>
          <c:order val="3"/>
          <c:tx>
            <c:v>IV</c:v>
          </c:tx>
          <c:spPr>
            <a:ln w="19050" cap="rnd">
              <a:solidFill>
                <a:schemeClr val="accent4"/>
              </a:solidFill>
              <a:round/>
            </a:ln>
            <a:effectLst/>
          </c:spPr>
          <c:marker>
            <c:symbol val="none"/>
          </c:marker>
          <c:xVal>
            <c:numRef>
              <c:f>'Pto Eq'!$Y$53:$Y$68</c:f>
              <c:numCache>
                <c:formatCode>#,##0</c:formatCode>
                <c:ptCount val="16"/>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numCache>
            </c:numRef>
          </c:xVal>
          <c:yVal>
            <c:numRef>
              <c:f>'Pto Eq'!$AC$53:$AC$68</c:f>
              <c:numCache>
                <c:formatCode>#,##0</c:formatCode>
                <c:ptCount val="16"/>
                <c:pt idx="0">
                  <c:v>0</c:v>
                </c:pt>
                <c:pt idx="1">
                  <c:v>900000</c:v>
                </c:pt>
                <c:pt idx="2">
                  <c:v>1800000</c:v>
                </c:pt>
                <c:pt idx="3">
                  <c:v>2700000</c:v>
                </c:pt>
                <c:pt idx="4">
                  <c:v>3600000</c:v>
                </c:pt>
                <c:pt idx="5">
                  <c:v>4500000</c:v>
                </c:pt>
                <c:pt idx="6">
                  <c:v>5400000</c:v>
                </c:pt>
                <c:pt idx="7">
                  <c:v>6300000</c:v>
                </c:pt>
                <c:pt idx="8">
                  <c:v>7200000</c:v>
                </c:pt>
                <c:pt idx="9">
                  <c:v>8100000</c:v>
                </c:pt>
                <c:pt idx="10">
                  <c:v>9000000</c:v>
                </c:pt>
                <c:pt idx="11">
                  <c:v>9900000</c:v>
                </c:pt>
                <c:pt idx="12">
                  <c:v>10800000</c:v>
                </c:pt>
                <c:pt idx="13">
                  <c:v>11700000</c:v>
                </c:pt>
                <c:pt idx="14">
                  <c:v>12600000</c:v>
                </c:pt>
                <c:pt idx="15">
                  <c:v>13500000</c:v>
                </c:pt>
              </c:numCache>
            </c:numRef>
          </c:yVal>
          <c:smooth val="0"/>
          <c:extLst>
            <c:ext xmlns:c16="http://schemas.microsoft.com/office/drawing/2014/chart" uri="{C3380CC4-5D6E-409C-BE32-E72D297353CC}">
              <c16:uniqueId val="{00000003-7F86-46A4-87B3-F3513EBD582F}"/>
            </c:ext>
          </c:extLst>
        </c:ser>
        <c:dLbls>
          <c:showLegendKey val="0"/>
          <c:showVal val="0"/>
          <c:showCatName val="0"/>
          <c:showSerName val="0"/>
          <c:showPercent val="0"/>
          <c:showBubbleSize val="0"/>
        </c:dLbls>
        <c:axId val="2062511167"/>
        <c:axId val="2062507423"/>
      </c:scatterChart>
      <c:valAx>
        <c:axId val="206251116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07423"/>
        <c:crosses val="autoZero"/>
        <c:crossBetween val="midCat"/>
        <c:majorUnit val="1000"/>
        <c:minorUnit val="500"/>
      </c:valAx>
      <c:valAx>
        <c:axId val="20625074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062511167"/>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Análisis de Sensibilidad - Capital</a:t>
            </a:r>
            <a:r>
              <a:rPr lang="en-US" baseline="0"/>
              <a:t> Propio</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scatterChart>
        <c:scatterStyle val="lineMarker"/>
        <c:varyColors val="0"/>
        <c:ser>
          <c:idx val="0"/>
          <c:order val="0"/>
          <c:tx>
            <c:v>Precio del Producto Principal</c:v>
          </c:tx>
          <c:spPr>
            <a:ln w="19050" cap="rnd">
              <a:solidFill>
                <a:schemeClr val="accent1"/>
              </a:solidFill>
              <a:round/>
            </a:ln>
            <a:effectLst/>
          </c:spPr>
          <c:marker>
            <c:symbol val="none"/>
          </c:marker>
          <c:xVal>
            <c:numRef>
              <c:f>Sensibilidad!$B$7:$B$17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Sensibilidad!$D$7:$D$17</c:f>
              <c:numCache>
                <c:formatCode>#,##0.00</c:formatCode>
                <c:ptCount val="11"/>
                <c:pt idx="0">
                  <c:v>-12.4</c:v>
                </c:pt>
                <c:pt idx="1">
                  <c:v>-7.25</c:v>
                </c:pt>
                <c:pt idx="2">
                  <c:v>-2.74</c:v>
                </c:pt>
                <c:pt idx="3">
                  <c:v>1.57</c:v>
                </c:pt>
                <c:pt idx="4">
                  <c:v>5.79</c:v>
                </c:pt>
                <c:pt idx="5">
                  <c:v>10</c:v>
                </c:pt>
                <c:pt idx="6">
                  <c:v>14.22</c:v>
                </c:pt>
                <c:pt idx="7">
                  <c:v>18.43</c:v>
                </c:pt>
                <c:pt idx="8">
                  <c:v>22.65</c:v>
                </c:pt>
                <c:pt idx="9">
                  <c:v>26.87</c:v>
                </c:pt>
                <c:pt idx="10">
                  <c:v>31.08</c:v>
                </c:pt>
              </c:numCache>
            </c:numRef>
          </c:yVal>
          <c:smooth val="0"/>
          <c:extLst>
            <c:ext xmlns:c16="http://schemas.microsoft.com/office/drawing/2014/chart" uri="{C3380CC4-5D6E-409C-BE32-E72D297353CC}">
              <c16:uniqueId val="{00000000-5423-425B-AD57-D0CF6706A12F}"/>
            </c:ext>
          </c:extLst>
        </c:ser>
        <c:ser>
          <c:idx val="1"/>
          <c:order val="1"/>
          <c:tx>
            <c:v>Costo Materia Prima 1</c:v>
          </c:tx>
          <c:spPr>
            <a:ln w="19050" cap="rnd">
              <a:solidFill>
                <a:schemeClr val="accent2"/>
              </a:solidFill>
              <a:round/>
            </a:ln>
            <a:effectLst/>
          </c:spPr>
          <c:marker>
            <c:symbol val="none"/>
          </c:marker>
          <c:xVal>
            <c:numRef>
              <c:f>Sensibilidad!$B$7:$B$17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Sensibilidad!$F$7:$F$17</c:f>
              <c:numCache>
                <c:formatCode>#,##0.00</c:formatCode>
                <c:ptCount val="11"/>
                <c:pt idx="0">
                  <c:v>11.89</c:v>
                </c:pt>
                <c:pt idx="1">
                  <c:v>11.51</c:v>
                </c:pt>
                <c:pt idx="2">
                  <c:v>11.13</c:v>
                </c:pt>
                <c:pt idx="3">
                  <c:v>10.76</c:v>
                </c:pt>
                <c:pt idx="4">
                  <c:v>10.38</c:v>
                </c:pt>
                <c:pt idx="5">
                  <c:v>10</c:v>
                </c:pt>
                <c:pt idx="6">
                  <c:v>9.6199999999999992</c:v>
                </c:pt>
                <c:pt idx="7">
                  <c:v>9.25</c:v>
                </c:pt>
                <c:pt idx="8">
                  <c:v>8.8699999999999992</c:v>
                </c:pt>
                <c:pt idx="9">
                  <c:v>8.49</c:v>
                </c:pt>
                <c:pt idx="10">
                  <c:v>8.1199999999999992</c:v>
                </c:pt>
              </c:numCache>
            </c:numRef>
          </c:yVal>
          <c:smooth val="0"/>
          <c:extLst>
            <c:ext xmlns:c16="http://schemas.microsoft.com/office/drawing/2014/chart" uri="{C3380CC4-5D6E-409C-BE32-E72D297353CC}">
              <c16:uniqueId val="{00000001-5423-425B-AD57-D0CF6706A12F}"/>
            </c:ext>
          </c:extLst>
        </c:ser>
        <c:ser>
          <c:idx val="2"/>
          <c:order val="2"/>
          <c:tx>
            <c:v>Costo Materia Prima 2</c:v>
          </c:tx>
          <c:spPr>
            <a:ln w="19050" cap="rnd">
              <a:solidFill>
                <a:schemeClr val="accent3"/>
              </a:solidFill>
              <a:round/>
            </a:ln>
            <a:effectLst/>
          </c:spPr>
          <c:marker>
            <c:symbol val="none"/>
          </c:marker>
          <c:xVal>
            <c:numRef>
              <c:f>Sensibilidad!$B$7:$B$17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Sensibilidad!$H$7:$H$17</c:f>
              <c:numCache>
                <c:formatCode>#,##0.00</c:formatCode>
                <c:ptCount val="11"/>
                <c:pt idx="5">
                  <c:v>10</c:v>
                </c:pt>
              </c:numCache>
            </c:numRef>
          </c:yVal>
          <c:smooth val="0"/>
          <c:extLst>
            <c:ext xmlns:c16="http://schemas.microsoft.com/office/drawing/2014/chart" uri="{C3380CC4-5D6E-409C-BE32-E72D297353CC}">
              <c16:uniqueId val="{00000002-5423-425B-AD57-D0CF6706A12F}"/>
            </c:ext>
          </c:extLst>
        </c:ser>
        <c:ser>
          <c:idx val="3"/>
          <c:order val="3"/>
          <c:tx>
            <c:v>Costo Materia Prima 3</c:v>
          </c:tx>
          <c:spPr>
            <a:ln w="19050" cap="rnd">
              <a:solidFill>
                <a:schemeClr val="accent4"/>
              </a:solidFill>
              <a:round/>
            </a:ln>
            <a:effectLst/>
          </c:spPr>
          <c:marker>
            <c:symbol val="none"/>
          </c:marker>
          <c:xVal>
            <c:numRef>
              <c:f>Sensibilidad!$B$7:$B$17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Sensibilidad!$J$7:$J$17</c:f>
              <c:numCache>
                <c:formatCode>#,##0.00</c:formatCode>
                <c:ptCount val="11"/>
                <c:pt idx="5">
                  <c:v>10</c:v>
                </c:pt>
              </c:numCache>
            </c:numRef>
          </c:yVal>
          <c:smooth val="0"/>
          <c:extLst>
            <c:ext xmlns:c16="http://schemas.microsoft.com/office/drawing/2014/chart" uri="{C3380CC4-5D6E-409C-BE32-E72D297353CC}">
              <c16:uniqueId val="{00000003-5423-425B-AD57-D0CF6706A12F}"/>
            </c:ext>
          </c:extLst>
        </c:ser>
        <c:ser>
          <c:idx val="4"/>
          <c:order val="4"/>
          <c:tx>
            <c:v>Costo Materia Prima 4</c:v>
          </c:tx>
          <c:spPr>
            <a:ln w="19050" cap="rnd">
              <a:solidFill>
                <a:schemeClr val="accent5"/>
              </a:solidFill>
              <a:round/>
            </a:ln>
            <a:effectLst/>
          </c:spPr>
          <c:marker>
            <c:symbol val="none"/>
          </c:marker>
          <c:xVal>
            <c:numRef>
              <c:f>Sensibilidad!$B$7:$B$17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Sensibilidad!$L$7:$L$17</c:f>
              <c:numCache>
                <c:formatCode>#,##0.00</c:formatCode>
                <c:ptCount val="11"/>
                <c:pt idx="5">
                  <c:v>10</c:v>
                </c:pt>
              </c:numCache>
            </c:numRef>
          </c:yVal>
          <c:smooth val="0"/>
          <c:extLst>
            <c:ext xmlns:c16="http://schemas.microsoft.com/office/drawing/2014/chart" uri="{C3380CC4-5D6E-409C-BE32-E72D297353CC}">
              <c16:uniqueId val="{00000004-5423-425B-AD57-D0CF6706A12F}"/>
            </c:ext>
          </c:extLst>
        </c:ser>
        <c:ser>
          <c:idx val="5"/>
          <c:order val="5"/>
          <c:tx>
            <c:v>Costo RRHH</c:v>
          </c:tx>
          <c:spPr>
            <a:ln w="19050" cap="rnd">
              <a:solidFill>
                <a:schemeClr val="accent6"/>
              </a:solidFill>
              <a:round/>
            </a:ln>
            <a:effectLst/>
          </c:spPr>
          <c:marker>
            <c:symbol val="none"/>
          </c:marker>
          <c:xVal>
            <c:numRef>
              <c:f>Sensibilidad!$B$7:$B$17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Sensibilidad!$N$7:$N$17</c:f>
              <c:numCache>
                <c:formatCode>#,##0.00</c:formatCode>
                <c:ptCount val="11"/>
                <c:pt idx="5">
                  <c:v>10</c:v>
                </c:pt>
              </c:numCache>
            </c:numRef>
          </c:yVal>
          <c:smooth val="0"/>
          <c:extLst>
            <c:ext xmlns:c16="http://schemas.microsoft.com/office/drawing/2014/chart" uri="{C3380CC4-5D6E-409C-BE32-E72D297353CC}">
              <c16:uniqueId val="{00000005-5423-425B-AD57-D0CF6706A12F}"/>
            </c:ext>
          </c:extLst>
        </c:ser>
        <c:ser>
          <c:idx val="6"/>
          <c:order val="6"/>
          <c:tx>
            <c:v>Inv Amort Tangibles</c:v>
          </c:tx>
          <c:spPr>
            <a:ln w="19050" cap="rnd">
              <a:solidFill>
                <a:schemeClr val="accent1">
                  <a:lumMod val="60000"/>
                </a:schemeClr>
              </a:solidFill>
              <a:round/>
            </a:ln>
            <a:effectLst/>
          </c:spPr>
          <c:marker>
            <c:symbol val="none"/>
          </c:marker>
          <c:xVal>
            <c:numRef>
              <c:f>Sensibilidad!$B$7:$B$17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Sensibilidad!$P$7:$P$17</c:f>
              <c:numCache>
                <c:formatCode>#,##0.00</c:formatCode>
                <c:ptCount val="11"/>
                <c:pt idx="5">
                  <c:v>10</c:v>
                </c:pt>
              </c:numCache>
            </c:numRef>
          </c:yVal>
          <c:smooth val="0"/>
          <c:extLst>
            <c:ext xmlns:c16="http://schemas.microsoft.com/office/drawing/2014/chart" uri="{C3380CC4-5D6E-409C-BE32-E72D297353CC}">
              <c16:uniqueId val="{00000006-5423-425B-AD57-D0CF6706A12F}"/>
            </c:ext>
          </c:extLst>
        </c:ser>
        <c:dLbls>
          <c:showLegendKey val="0"/>
          <c:showVal val="0"/>
          <c:showCatName val="0"/>
          <c:showSerName val="0"/>
          <c:showPercent val="0"/>
          <c:showBubbleSize val="0"/>
        </c:dLbls>
        <c:axId val="688920335"/>
        <c:axId val="688934479"/>
      </c:scatterChart>
      <c:valAx>
        <c:axId val="688920335"/>
        <c:scaling>
          <c:orientation val="minMax"/>
          <c:max val="0.5"/>
          <c:min val="-0.5"/>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688934479"/>
        <c:crosses val="autoZero"/>
        <c:crossBetween val="midCat"/>
        <c:majorUnit val="5.000000000000001E-2"/>
      </c:valAx>
      <c:valAx>
        <c:axId val="68893447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688920335"/>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Análisis de Sensibilidad - Capital Mixto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scatterChart>
        <c:scatterStyle val="lineMarker"/>
        <c:varyColors val="0"/>
        <c:ser>
          <c:idx val="0"/>
          <c:order val="0"/>
          <c:tx>
            <c:v>Precio del Producto Principal</c:v>
          </c:tx>
          <c:spPr>
            <a:ln w="19050" cap="rnd">
              <a:solidFill>
                <a:schemeClr val="accent1"/>
              </a:solidFill>
              <a:round/>
            </a:ln>
            <a:effectLst/>
          </c:spPr>
          <c:marker>
            <c:symbol val="none"/>
          </c:marker>
          <c:xVal>
            <c:numRef>
              <c:f>Sensibilidad!$B$57:$B$67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Sensibilidad!$D$57:$D$67</c:f>
              <c:numCache>
                <c:formatCode>General</c:formatCode>
                <c:ptCount val="11"/>
              </c:numCache>
            </c:numRef>
          </c:yVal>
          <c:smooth val="0"/>
          <c:extLst>
            <c:ext xmlns:c16="http://schemas.microsoft.com/office/drawing/2014/chart" uri="{C3380CC4-5D6E-409C-BE32-E72D297353CC}">
              <c16:uniqueId val="{00000000-876F-46C4-9B22-9603B47CE0DF}"/>
            </c:ext>
          </c:extLst>
        </c:ser>
        <c:ser>
          <c:idx val="1"/>
          <c:order val="1"/>
          <c:tx>
            <c:v>Costo Materia Prima 1</c:v>
          </c:tx>
          <c:spPr>
            <a:ln w="19050" cap="rnd">
              <a:solidFill>
                <a:schemeClr val="accent2"/>
              </a:solidFill>
              <a:round/>
            </a:ln>
            <a:effectLst/>
          </c:spPr>
          <c:marker>
            <c:symbol val="none"/>
          </c:marker>
          <c:xVal>
            <c:numRef>
              <c:f>Sensibilidad!$B$57:$B$67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Sensibilidad!$F$57:$F$67</c:f>
              <c:numCache>
                <c:formatCode>General</c:formatCode>
                <c:ptCount val="11"/>
              </c:numCache>
            </c:numRef>
          </c:yVal>
          <c:smooth val="0"/>
          <c:extLst>
            <c:ext xmlns:c16="http://schemas.microsoft.com/office/drawing/2014/chart" uri="{C3380CC4-5D6E-409C-BE32-E72D297353CC}">
              <c16:uniqueId val="{00000001-876F-46C4-9B22-9603B47CE0DF}"/>
            </c:ext>
          </c:extLst>
        </c:ser>
        <c:ser>
          <c:idx val="2"/>
          <c:order val="2"/>
          <c:tx>
            <c:v>Costo Materia Prima 2</c:v>
          </c:tx>
          <c:spPr>
            <a:ln w="19050" cap="rnd">
              <a:solidFill>
                <a:schemeClr val="accent3"/>
              </a:solidFill>
              <a:round/>
            </a:ln>
            <a:effectLst/>
          </c:spPr>
          <c:marker>
            <c:symbol val="none"/>
          </c:marker>
          <c:xVal>
            <c:numRef>
              <c:f>Sensibilidad!$B$57:$B$67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Sensibilidad!$H$57:$H$67</c:f>
              <c:numCache>
                <c:formatCode>General</c:formatCode>
                <c:ptCount val="11"/>
              </c:numCache>
            </c:numRef>
          </c:yVal>
          <c:smooth val="0"/>
          <c:extLst>
            <c:ext xmlns:c16="http://schemas.microsoft.com/office/drawing/2014/chart" uri="{C3380CC4-5D6E-409C-BE32-E72D297353CC}">
              <c16:uniqueId val="{00000002-876F-46C4-9B22-9603B47CE0DF}"/>
            </c:ext>
          </c:extLst>
        </c:ser>
        <c:ser>
          <c:idx val="3"/>
          <c:order val="3"/>
          <c:tx>
            <c:v>Costo Materia Prima 3</c:v>
          </c:tx>
          <c:spPr>
            <a:ln w="19050" cap="rnd">
              <a:solidFill>
                <a:schemeClr val="accent4"/>
              </a:solidFill>
              <a:round/>
            </a:ln>
            <a:effectLst/>
          </c:spPr>
          <c:marker>
            <c:symbol val="none"/>
          </c:marker>
          <c:xVal>
            <c:numRef>
              <c:f>Sensibilidad!$B$57:$B$67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Sensibilidad!$J$57:$J$67</c:f>
              <c:numCache>
                <c:formatCode>#,##0.00</c:formatCode>
                <c:ptCount val="11"/>
              </c:numCache>
            </c:numRef>
          </c:yVal>
          <c:smooth val="0"/>
          <c:extLst>
            <c:ext xmlns:c16="http://schemas.microsoft.com/office/drawing/2014/chart" uri="{C3380CC4-5D6E-409C-BE32-E72D297353CC}">
              <c16:uniqueId val="{00000003-876F-46C4-9B22-9603B47CE0DF}"/>
            </c:ext>
          </c:extLst>
        </c:ser>
        <c:ser>
          <c:idx val="4"/>
          <c:order val="4"/>
          <c:tx>
            <c:v>Costo Materia Prima 4</c:v>
          </c:tx>
          <c:spPr>
            <a:ln w="19050" cap="rnd">
              <a:solidFill>
                <a:schemeClr val="accent5"/>
              </a:solidFill>
              <a:round/>
            </a:ln>
            <a:effectLst/>
          </c:spPr>
          <c:marker>
            <c:symbol val="none"/>
          </c:marker>
          <c:xVal>
            <c:numRef>
              <c:f>Sensibilidad!$B$57:$B$67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Sensibilidad!$L$57:$L$67</c:f>
              <c:numCache>
                <c:formatCode>#,##0.00</c:formatCode>
                <c:ptCount val="11"/>
              </c:numCache>
            </c:numRef>
          </c:yVal>
          <c:smooth val="0"/>
          <c:extLst>
            <c:ext xmlns:c16="http://schemas.microsoft.com/office/drawing/2014/chart" uri="{C3380CC4-5D6E-409C-BE32-E72D297353CC}">
              <c16:uniqueId val="{00000004-876F-46C4-9B22-9603B47CE0DF}"/>
            </c:ext>
          </c:extLst>
        </c:ser>
        <c:ser>
          <c:idx val="5"/>
          <c:order val="5"/>
          <c:tx>
            <c:v>Costo RRHH</c:v>
          </c:tx>
          <c:spPr>
            <a:ln w="19050" cap="rnd">
              <a:solidFill>
                <a:schemeClr val="accent6"/>
              </a:solidFill>
              <a:round/>
            </a:ln>
            <a:effectLst/>
          </c:spPr>
          <c:marker>
            <c:symbol val="none"/>
          </c:marker>
          <c:xVal>
            <c:numRef>
              <c:f>Sensibilidad!$B$57:$B$67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Sensibilidad!$N$57:$N$67</c:f>
              <c:numCache>
                <c:formatCode>#,##0.00</c:formatCode>
                <c:ptCount val="11"/>
              </c:numCache>
            </c:numRef>
          </c:yVal>
          <c:smooth val="0"/>
          <c:extLst>
            <c:ext xmlns:c16="http://schemas.microsoft.com/office/drawing/2014/chart" uri="{C3380CC4-5D6E-409C-BE32-E72D297353CC}">
              <c16:uniqueId val="{00000005-876F-46C4-9B22-9603B47CE0DF}"/>
            </c:ext>
          </c:extLst>
        </c:ser>
        <c:ser>
          <c:idx val="6"/>
          <c:order val="6"/>
          <c:tx>
            <c:v>Inv Amort Tangibles</c:v>
          </c:tx>
          <c:spPr>
            <a:ln w="19050" cap="rnd">
              <a:solidFill>
                <a:schemeClr val="accent1">
                  <a:lumMod val="60000"/>
                </a:schemeClr>
              </a:solidFill>
              <a:round/>
            </a:ln>
            <a:effectLst/>
          </c:spPr>
          <c:marker>
            <c:symbol val="none"/>
          </c:marker>
          <c:xVal>
            <c:numRef>
              <c:f>Sensibilidad!$B$57:$B$67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Sensibilidad!$P$57:$P$67</c:f>
              <c:numCache>
                <c:formatCode>#,##0.00</c:formatCode>
                <c:ptCount val="11"/>
              </c:numCache>
            </c:numRef>
          </c:yVal>
          <c:smooth val="0"/>
          <c:extLst>
            <c:ext xmlns:c16="http://schemas.microsoft.com/office/drawing/2014/chart" uri="{C3380CC4-5D6E-409C-BE32-E72D297353CC}">
              <c16:uniqueId val="{00000006-876F-46C4-9B22-9603B47CE0DF}"/>
            </c:ext>
          </c:extLst>
        </c:ser>
        <c:dLbls>
          <c:showLegendKey val="0"/>
          <c:showVal val="0"/>
          <c:showCatName val="0"/>
          <c:showSerName val="0"/>
          <c:showPercent val="0"/>
          <c:showBubbleSize val="0"/>
        </c:dLbls>
        <c:axId val="688920335"/>
        <c:axId val="688934479"/>
      </c:scatterChart>
      <c:valAx>
        <c:axId val="688920335"/>
        <c:scaling>
          <c:orientation val="minMax"/>
          <c:max val="0.5"/>
          <c:min val="-0.5"/>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688934479"/>
        <c:crosses val="autoZero"/>
        <c:crossBetween val="midCat"/>
        <c:majorUnit val="5.000000000000001E-2"/>
      </c:valAx>
      <c:valAx>
        <c:axId val="6889344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688920335"/>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FF Neto Acumulado - Capital Propio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scatterChart>
        <c:scatterStyle val="smoothMarker"/>
        <c:varyColors val="0"/>
        <c:ser>
          <c:idx val="0"/>
          <c:order val="0"/>
          <c:tx>
            <c:v>FF Neto Acumulado</c:v>
          </c:tx>
          <c:spPr>
            <a:ln w="19050" cap="rnd">
              <a:solidFill>
                <a:schemeClr val="accent1"/>
              </a:solidFill>
              <a:round/>
            </a:ln>
            <a:effectLst/>
          </c:spPr>
          <c:marker>
            <c:symbol val="none"/>
          </c:marker>
          <c:xVal>
            <c:numRef>
              <c:f>FF!$B$5:$B$15</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xVal>
          <c:yVal>
            <c:numRef>
              <c:f>FF!$J$5:$J$15</c:f>
              <c:numCache>
                <c:formatCode>#,##0</c:formatCode>
                <c:ptCount val="11"/>
                <c:pt idx="0">
                  <c:v>-16977867.102500614</c:v>
                </c:pt>
                <c:pt idx="1">
                  <c:v>-14122811.002594983</c:v>
                </c:pt>
                <c:pt idx="2">
                  <c:v>-10532234.1317432</c:v>
                </c:pt>
                <c:pt idx="3">
                  <c:v>-6644590.064528198</c:v>
                </c:pt>
                <c:pt idx="4">
                  <c:v>-2085442.8502785871</c:v>
                </c:pt>
                <c:pt idx="5">
                  <c:v>2467243.8420092175</c:v>
                </c:pt>
                <c:pt idx="6">
                  <c:v>6335603.7906730697</c:v>
                </c:pt>
                <c:pt idx="7">
                  <c:v>10153048.196141971</c:v>
                </c:pt>
                <c:pt idx="8">
                  <c:v>13753773.189182989</c:v>
                </c:pt>
                <c:pt idx="9">
                  <c:v>17137778.769796122</c:v>
                </c:pt>
                <c:pt idx="10">
                  <c:v>25985144.813848071</c:v>
                </c:pt>
              </c:numCache>
            </c:numRef>
          </c:yVal>
          <c:smooth val="1"/>
          <c:extLst>
            <c:ext xmlns:c16="http://schemas.microsoft.com/office/drawing/2014/chart" uri="{C3380CC4-5D6E-409C-BE32-E72D297353CC}">
              <c16:uniqueId val="{00000000-D183-4E6A-B746-C1A3BFC73EE4}"/>
            </c:ext>
          </c:extLst>
        </c:ser>
        <c:dLbls>
          <c:showLegendKey val="0"/>
          <c:showVal val="0"/>
          <c:showCatName val="0"/>
          <c:showSerName val="0"/>
          <c:showPercent val="0"/>
          <c:showBubbleSize val="0"/>
        </c:dLbls>
        <c:axId val="1880406383"/>
        <c:axId val="1880388079"/>
      </c:scatterChart>
      <c:valAx>
        <c:axId val="18804063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1880388079"/>
        <c:crosses val="autoZero"/>
        <c:crossBetween val="midCat"/>
        <c:majorUnit val="1"/>
        <c:minorUnit val="0.5"/>
      </c:valAx>
      <c:valAx>
        <c:axId val="18803880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188040638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Inversiones Totales del Proyecto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3A8-4BD1-B9D4-6685DFEB866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3A8-4BD1-B9D4-6685DFEB866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3A8-4BD1-B9D4-6685DFEB866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3A8-4BD1-B9D4-6685DFEB866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3A8-4BD1-B9D4-6685DFEB866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'Cuadro Inv'!$Q$6:$Q$10</c:f>
              <c:strCache>
                <c:ptCount val="5"/>
                <c:pt idx="0">
                  <c:v>Terreno</c:v>
                </c:pt>
                <c:pt idx="1">
                  <c:v>Inversiones amortizables tangibles</c:v>
                </c:pt>
                <c:pt idx="2">
                  <c:v>Inversiones amortizables intangibles</c:v>
                </c:pt>
                <c:pt idx="3">
                  <c:v>Inversiones no amortizables</c:v>
                </c:pt>
                <c:pt idx="4">
                  <c:v>Ajustes/Imprevistos</c:v>
                </c:pt>
              </c:strCache>
            </c:strRef>
          </c:cat>
          <c:val>
            <c:numRef>
              <c:f>'Cuadro Inv'!$R$6:$R$10</c:f>
              <c:numCache>
                <c:formatCode>#,##0</c:formatCode>
                <c:ptCount val="5"/>
                <c:pt idx="0">
                  <c:v>170000</c:v>
                </c:pt>
                <c:pt idx="1">
                  <c:v>10825971</c:v>
                </c:pt>
                <c:pt idx="2">
                  <c:v>4160000</c:v>
                </c:pt>
                <c:pt idx="3">
                  <c:v>1300000</c:v>
                </c:pt>
                <c:pt idx="4">
                  <c:v>1500000</c:v>
                </c:pt>
              </c:numCache>
            </c:numRef>
          </c:val>
          <c:extLst>
            <c:ext xmlns:c16="http://schemas.microsoft.com/office/drawing/2014/chart" uri="{C3380CC4-5D6E-409C-BE32-E72D297353CC}">
              <c16:uniqueId val="{00000000-2110-418D-987A-E53B5690D69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FF Neto Acumulado - Capital Mixto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FF!$B$30:$B$40</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xVal>
          <c:yVal>
            <c:numRef>
              <c:f>FF!$K$30:$K$40</c:f>
              <c:numCache>
                <c:formatCode>#,##0</c:formatCode>
                <c:ptCount val="11"/>
                <c:pt idx="0">
                  <c:v>-7295095.2845006138</c:v>
                </c:pt>
                <c:pt idx="1">
                  <c:v>-4763188.6795424828</c:v>
                </c:pt>
                <c:pt idx="2">
                  <c:v>-1494121.4793786989</c:v>
                </c:pt>
                <c:pt idx="3">
                  <c:v>772204.91640780261</c:v>
                </c:pt>
                <c:pt idx="4">
                  <c:v>3755598.1475821622</c:v>
                </c:pt>
                <c:pt idx="5">
                  <c:v>6778094.5451479657</c:v>
                </c:pt>
                <c:pt idx="6">
                  <c:v>9125387.3483430669</c:v>
                </c:pt>
                <c:pt idx="7">
                  <c:v>11465688.472436968</c:v>
                </c:pt>
                <c:pt idx="8">
                  <c:v>13633194.048196735</c:v>
                </c:pt>
                <c:pt idx="9">
                  <c:v>15627904.075622367</c:v>
                </c:pt>
                <c:pt idx="10">
                  <c:v>23129898.430580568</c:v>
                </c:pt>
              </c:numCache>
            </c:numRef>
          </c:yVal>
          <c:smooth val="1"/>
          <c:extLst>
            <c:ext xmlns:c16="http://schemas.microsoft.com/office/drawing/2014/chart" uri="{C3380CC4-5D6E-409C-BE32-E72D297353CC}">
              <c16:uniqueId val="{00000000-E98C-4652-82AB-216872C4F702}"/>
            </c:ext>
          </c:extLst>
        </c:ser>
        <c:dLbls>
          <c:showLegendKey val="0"/>
          <c:showVal val="0"/>
          <c:showCatName val="0"/>
          <c:showSerName val="0"/>
          <c:showPercent val="0"/>
          <c:showBubbleSize val="0"/>
        </c:dLbls>
        <c:axId val="1880406383"/>
        <c:axId val="1880388079"/>
      </c:scatterChart>
      <c:valAx>
        <c:axId val="18804063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1880388079"/>
        <c:crosses val="autoZero"/>
        <c:crossBetween val="midCat"/>
        <c:majorUnit val="1"/>
        <c:minorUnit val="0.5"/>
      </c:valAx>
      <c:valAx>
        <c:axId val="18803880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188040638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Inversiones Amortizables Tangibles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A9A-42D9-B567-18EF9A2DDAC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A9A-42D9-B567-18EF9A2DDAC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A9A-42D9-B567-18EF9A2DDAC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A9A-42D9-B567-18EF9A2DDAC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A9A-42D9-B567-18EF9A2DDAC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A9A-42D9-B567-18EF9A2DDAC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A9A-42D9-B567-18EF9A2DDAC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A9A-42D9-B567-18EF9A2DDAC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A9A-42D9-B567-18EF9A2DDAC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A9A-42D9-B567-18EF9A2DDAC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7A9A-42D9-B567-18EF9A2DDAC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7A9A-42D9-B567-18EF9A2DDAC5}"/>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7A9A-42D9-B567-18EF9A2DDAC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'Cuadro Inv'!$B$86:$B$98</c:f>
              <c:strCache>
                <c:ptCount val="13"/>
                <c:pt idx="0">
                  <c:v>Obras especiales sobre el terreno</c:v>
                </c:pt>
                <c:pt idx="1">
                  <c:v>Obra Civil (incl. Instalaciones Provisorias)</c:v>
                </c:pt>
                <c:pt idx="2">
                  <c:v>Maquinaria y equipos de proceso instalados</c:v>
                </c:pt>
                <c:pt idx="3">
                  <c:v>Instalaciones de Servicios</c:v>
                </c:pt>
                <c:pt idx="4">
                  <c:v>Instrumentación y Control</c:v>
                </c:pt>
                <c:pt idx="5">
                  <c:v>Cañerías</c:v>
                </c:pt>
                <c:pt idx="6">
                  <c:v>Instalaciones Eléctricas</c:v>
                </c:pt>
                <c:pt idx="7">
                  <c:v>Aislaciones</c:v>
                </c:pt>
                <c:pt idx="8">
                  <c:v>Instalaciones externas</c:v>
                </c:pt>
                <c:pt idx="9">
                  <c:v>Muebles y equipos de oficina, vestuario, comedor</c:v>
                </c:pt>
                <c:pt idx="10">
                  <c:v>Vehículos</c:v>
                </c:pt>
                <c:pt idx="11">
                  <c:v>Equipos HSE</c:v>
                </c:pt>
                <c:pt idx="12">
                  <c:v>Envases</c:v>
                </c:pt>
              </c:strCache>
            </c:strRef>
          </c:cat>
          <c:val>
            <c:numRef>
              <c:f>'Cuadro Inv'!$C$86:$C$98</c:f>
              <c:numCache>
                <c:formatCode>#,##0</c:formatCode>
                <c:ptCount val="13"/>
                <c:pt idx="0">
                  <c:v>400000</c:v>
                </c:pt>
                <c:pt idx="1">
                  <c:v>1300000</c:v>
                </c:pt>
                <c:pt idx="2">
                  <c:v>3365971</c:v>
                </c:pt>
                <c:pt idx="3">
                  <c:v>1900000</c:v>
                </c:pt>
                <c:pt idx="4">
                  <c:v>750000</c:v>
                </c:pt>
                <c:pt idx="5">
                  <c:v>2000000</c:v>
                </c:pt>
                <c:pt idx="6">
                  <c:v>500000</c:v>
                </c:pt>
                <c:pt idx="7">
                  <c:v>240000</c:v>
                </c:pt>
                <c:pt idx="8">
                  <c:v>20000</c:v>
                </c:pt>
                <c:pt idx="9">
                  <c:v>100000</c:v>
                </c:pt>
                <c:pt idx="10">
                  <c:v>150000</c:v>
                </c:pt>
                <c:pt idx="11">
                  <c:v>50000</c:v>
                </c:pt>
                <c:pt idx="12">
                  <c:v>50000</c:v>
                </c:pt>
              </c:numCache>
            </c:numRef>
          </c:val>
          <c:extLst>
            <c:ext xmlns:c16="http://schemas.microsoft.com/office/drawing/2014/chart" uri="{C3380CC4-5D6E-409C-BE32-E72D297353CC}">
              <c16:uniqueId val="{0000001A-7A9A-42D9-B567-18EF9A2DDAC5}"/>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Inversiones Amortizables</a:t>
            </a:r>
            <a:r>
              <a:rPr lang="es-UY" baseline="0"/>
              <a:t> Intangibles</a:t>
            </a:r>
            <a:endParaRPr lang="es-UY"/>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F84-4C12-8C8C-D53E5543FF3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F84-4C12-8C8C-D53E5543FF3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F84-4C12-8C8C-D53E5543FF3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F84-4C12-8C8C-D53E5543FF3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F84-4C12-8C8C-D53E5543FF3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F84-4C12-8C8C-D53E5543FF3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F84-4C12-8C8C-D53E5543FF3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F84-4C12-8C8C-D53E5543FF3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F84-4C12-8C8C-D53E5543FF3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66AE-402A-95F4-C5A05D10B3D0}"/>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66AE-402A-95F4-C5A05D10B3D0}"/>
              </c:ext>
            </c:extLst>
          </c:dPt>
          <c:dPt>
            <c:idx val="11"/>
            <c:bubble3D val="0"/>
            <c:spPr>
              <a:solidFill>
                <a:schemeClr val="accent6">
                  <a:lumMod val="6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('Cuadro Inv'!$B$99:$B$109,'Cuadro Inv'!$B$116)</c:f>
              <c:strCache>
                <c:ptCount val="12"/>
                <c:pt idx="0">
                  <c:v>Confección proyecto inversión</c:v>
                </c:pt>
                <c:pt idx="1">
                  <c:v>Preparación de proyectos técnico de instalación</c:v>
                </c:pt>
                <c:pt idx="2">
                  <c:v>Contratista y Ejecución de la instalación</c:v>
                </c:pt>
                <c:pt idx="3">
                  <c:v>Gastos legales y de constitución</c:v>
                </c:pt>
                <c:pt idx="4">
                  <c:v>Trámites y habilitaciones</c:v>
                </c:pt>
                <c:pt idx="5">
                  <c:v>Gastos especiales de promoción</c:v>
                </c:pt>
                <c:pt idx="6">
                  <c:v>Capacitación</c:v>
                </c:pt>
                <c:pt idx="7">
                  <c:v>Patentes, llaves, licencias</c:v>
                </c:pt>
                <c:pt idx="8">
                  <c:v>Puesta en marcha</c:v>
                </c:pt>
                <c:pt idx="9">
                  <c:v>Costo de Constitución de las Garantías</c:v>
                </c:pt>
                <c:pt idx="10">
                  <c:v>Intereses Intercalarios</c:v>
                </c:pt>
                <c:pt idx="11">
                  <c:v>Ajustes/Imprevistos</c:v>
                </c:pt>
              </c:strCache>
            </c:strRef>
          </c:cat>
          <c:val>
            <c:numRef>
              <c:f>('Cuadro Inv'!$D$99:$D$109,'Cuadro Inv'!$D$116)</c:f>
              <c:numCache>
                <c:formatCode>#,##0</c:formatCode>
                <c:ptCount val="12"/>
                <c:pt idx="0">
                  <c:v>380000</c:v>
                </c:pt>
                <c:pt idx="1">
                  <c:v>570000</c:v>
                </c:pt>
                <c:pt idx="2">
                  <c:v>2150000</c:v>
                </c:pt>
                <c:pt idx="3">
                  <c:v>120000</c:v>
                </c:pt>
                <c:pt idx="4">
                  <c:v>80000</c:v>
                </c:pt>
                <c:pt idx="5">
                  <c:v>200000</c:v>
                </c:pt>
                <c:pt idx="6">
                  <c:v>100000</c:v>
                </c:pt>
                <c:pt idx="7">
                  <c:v>100000</c:v>
                </c:pt>
                <c:pt idx="8">
                  <c:v>460000</c:v>
                </c:pt>
                <c:pt idx="9">
                  <c:v>104115.826</c:v>
                </c:pt>
                <c:pt idx="10">
                  <c:v>624694.95600000001</c:v>
                </c:pt>
                <c:pt idx="11">
                  <c:v>1500000</c:v>
                </c:pt>
              </c:numCache>
            </c:numRef>
          </c:val>
          <c:extLst>
            <c:ext xmlns:c16="http://schemas.microsoft.com/office/drawing/2014/chart" uri="{C3380CC4-5D6E-409C-BE32-E72D297353CC}">
              <c16:uniqueId val="{00000012-7F84-4C12-8C8C-D53E5543FF3E}"/>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Inversiones No Amortizables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79D-4359-A3B1-1C9D8E91794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79D-4359-A3B1-1C9D8E91794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79D-4359-A3B1-1C9D8E91794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79D-4359-A3B1-1C9D8E91794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79D-4359-A3B1-1C9D8E91794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79D-4359-A3B1-1C9D8E91794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'Cuadro Inv'!$B$110:$B$115</c:f>
              <c:strCache>
                <c:ptCount val="6"/>
                <c:pt idx="0">
                  <c:v>Inventario en efectivo</c:v>
                </c:pt>
                <c:pt idx="1">
                  <c:v>Inventario de materias primas</c:v>
                </c:pt>
                <c:pt idx="2">
                  <c:v>Inventario de envases</c:v>
                </c:pt>
                <c:pt idx="3">
                  <c:v>Inventario de producto en proceso</c:v>
                </c:pt>
                <c:pt idx="4">
                  <c:v>Inventario de producto terminado</c:v>
                </c:pt>
                <c:pt idx="5">
                  <c:v>Inventario de producto terminado a cobrar</c:v>
                </c:pt>
              </c:strCache>
            </c:strRef>
          </c:cat>
          <c:val>
            <c:numRef>
              <c:f>'Cuadro Inv'!$E$110:$E$115</c:f>
              <c:numCache>
                <c:formatCode>#,##0</c:formatCode>
                <c:ptCount val="6"/>
                <c:pt idx="0">
                  <c:v>135000</c:v>
                </c:pt>
                <c:pt idx="1">
                  <c:v>80000</c:v>
                </c:pt>
                <c:pt idx="2">
                  <c:v>5000</c:v>
                </c:pt>
                <c:pt idx="3">
                  <c:v>80000</c:v>
                </c:pt>
                <c:pt idx="4">
                  <c:v>500000</c:v>
                </c:pt>
                <c:pt idx="5">
                  <c:v>500000</c:v>
                </c:pt>
              </c:numCache>
            </c:numRef>
          </c:val>
          <c:extLst>
            <c:ext xmlns:c16="http://schemas.microsoft.com/office/drawing/2014/chart" uri="{C3380CC4-5D6E-409C-BE32-E72D297353CC}">
              <c16:uniqueId val="{0000000C-579D-4359-A3B1-1C9D8E917946}"/>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Inversiones Totales del Proyecto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04C-4128-B3B9-41305553A1B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04C-4128-B3B9-41305553A1B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04C-4128-B3B9-41305553A1B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04C-4128-B3B9-41305553A1B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04C-4128-B3B9-41305553A1B8}"/>
              </c:ext>
            </c:extLst>
          </c:dPt>
          <c:cat>
            <c:strRef>
              <c:f>'Cuadro Inv'!$Q$86:$Q$90</c:f>
              <c:strCache>
                <c:ptCount val="5"/>
                <c:pt idx="0">
                  <c:v>Terreno</c:v>
                </c:pt>
                <c:pt idx="1">
                  <c:v>Inversiones amortizables tangibles</c:v>
                </c:pt>
                <c:pt idx="2">
                  <c:v>Inversiones amortizables intangibles</c:v>
                </c:pt>
                <c:pt idx="3">
                  <c:v>Inversiones no amortizables</c:v>
                </c:pt>
                <c:pt idx="4">
                  <c:v>Ajustes/Imprevistos</c:v>
                </c:pt>
              </c:strCache>
            </c:strRef>
          </c:cat>
          <c:val>
            <c:numRef>
              <c:f>'Cuadro Inv'!$R$86:$R$90</c:f>
              <c:numCache>
                <c:formatCode>#,##0</c:formatCode>
                <c:ptCount val="5"/>
                <c:pt idx="0">
                  <c:v>170000</c:v>
                </c:pt>
                <c:pt idx="1">
                  <c:v>10825971</c:v>
                </c:pt>
                <c:pt idx="2">
                  <c:v>4888810.7820000006</c:v>
                </c:pt>
                <c:pt idx="3">
                  <c:v>1300000</c:v>
                </c:pt>
                <c:pt idx="4">
                  <c:v>1500000</c:v>
                </c:pt>
              </c:numCache>
            </c:numRef>
          </c:val>
          <c:extLst>
            <c:ext xmlns:c16="http://schemas.microsoft.com/office/drawing/2014/chart" uri="{C3380CC4-5D6E-409C-BE32-E72D297353CC}">
              <c16:uniqueId val="{0000000A-704C-4128-B3B9-41305553A1B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Análisis de Sensibilidad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scatterChart>
        <c:scatterStyle val="lineMarker"/>
        <c:varyColors val="0"/>
        <c:ser>
          <c:idx val="0"/>
          <c:order val="0"/>
          <c:tx>
            <c:v>Precio del Producto Principal</c:v>
          </c:tx>
          <c:spPr>
            <a:ln w="19050" cap="rnd">
              <a:solidFill>
                <a:schemeClr val="accent1"/>
              </a:solidFill>
              <a:round/>
            </a:ln>
            <a:effectLst/>
          </c:spPr>
          <c:marker>
            <c:symbol val="none"/>
          </c:marker>
          <c:xVal>
            <c:numRef>
              <c:f>Sensibilidad!$B$7:$B$17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Sensibilidad!$D$7:$D$17</c:f>
              <c:numCache>
                <c:formatCode>#,##0.00</c:formatCode>
                <c:ptCount val="11"/>
                <c:pt idx="0">
                  <c:v>-12.4</c:v>
                </c:pt>
                <c:pt idx="1">
                  <c:v>-7.25</c:v>
                </c:pt>
                <c:pt idx="2">
                  <c:v>-2.74</c:v>
                </c:pt>
                <c:pt idx="3">
                  <c:v>1.57</c:v>
                </c:pt>
                <c:pt idx="4">
                  <c:v>5.79</c:v>
                </c:pt>
                <c:pt idx="5">
                  <c:v>10</c:v>
                </c:pt>
                <c:pt idx="6">
                  <c:v>14.22</c:v>
                </c:pt>
                <c:pt idx="7">
                  <c:v>18.43</c:v>
                </c:pt>
                <c:pt idx="8">
                  <c:v>22.65</c:v>
                </c:pt>
                <c:pt idx="9">
                  <c:v>26.87</c:v>
                </c:pt>
                <c:pt idx="10">
                  <c:v>31.08</c:v>
                </c:pt>
              </c:numCache>
            </c:numRef>
          </c:yVal>
          <c:smooth val="0"/>
          <c:extLst>
            <c:ext xmlns:c16="http://schemas.microsoft.com/office/drawing/2014/chart" uri="{C3380CC4-5D6E-409C-BE32-E72D297353CC}">
              <c16:uniqueId val="{00000000-6706-446D-A703-31607C002BCF}"/>
            </c:ext>
          </c:extLst>
        </c:ser>
        <c:ser>
          <c:idx val="1"/>
          <c:order val="1"/>
          <c:tx>
            <c:v>Costo Materia Prima 1</c:v>
          </c:tx>
          <c:spPr>
            <a:ln w="19050" cap="rnd">
              <a:solidFill>
                <a:schemeClr val="accent2"/>
              </a:solidFill>
              <a:round/>
            </a:ln>
            <a:effectLst/>
          </c:spPr>
          <c:marker>
            <c:symbol val="none"/>
          </c:marker>
          <c:xVal>
            <c:numRef>
              <c:f>Sensibilidad!$B$7:$B$17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Sensibilidad!$F$7:$F$17</c:f>
              <c:numCache>
                <c:formatCode>#,##0.00</c:formatCode>
                <c:ptCount val="11"/>
                <c:pt idx="0">
                  <c:v>11.89</c:v>
                </c:pt>
                <c:pt idx="1">
                  <c:v>11.51</c:v>
                </c:pt>
                <c:pt idx="2">
                  <c:v>11.13</c:v>
                </c:pt>
                <c:pt idx="3">
                  <c:v>10.76</c:v>
                </c:pt>
                <c:pt idx="4">
                  <c:v>10.38</c:v>
                </c:pt>
                <c:pt idx="5">
                  <c:v>10</c:v>
                </c:pt>
                <c:pt idx="6">
                  <c:v>9.6199999999999992</c:v>
                </c:pt>
                <c:pt idx="7">
                  <c:v>9.25</c:v>
                </c:pt>
                <c:pt idx="8">
                  <c:v>8.8699999999999992</c:v>
                </c:pt>
                <c:pt idx="9">
                  <c:v>8.49</c:v>
                </c:pt>
                <c:pt idx="10">
                  <c:v>8.1199999999999992</c:v>
                </c:pt>
              </c:numCache>
            </c:numRef>
          </c:yVal>
          <c:smooth val="0"/>
          <c:extLst>
            <c:ext xmlns:c16="http://schemas.microsoft.com/office/drawing/2014/chart" uri="{C3380CC4-5D6E-409C-BE32-E72D297353CC}">
              <c16:uniqueId val="{00000002-6706-446D-A703-31607C002BCF}"/>
            </c:ext>
          </c:extLst>
        </c:ser>
        <c:ser>
          <c:idx val="2"/>
          <c:order val="2"/>
          <c:tx>
            <c:v>Costo Materia Prima 2</c:v>
          </c:tx>
          <c:spPr>
            <a:ln w="19050" cap="rnd">
              <a:solidFill>
                <a:schemeClr val="accent3"/>
              </a:solidFill>
              <a:round/>
            </a:ln>
            <a:effectLst/>
          </c:spPr>
          <c:marker>
            <c:symbol val="none"/>
          </c:marker>
          <c:xVal>
            <c:numRef>
              <c:f>Sensibilidad!$B$7:$B$17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Sensibilidad!$H$7:$H$17</c:f>
              <c:numCache>
                <c:formatCode>#,##0.00</c:formatCode>
                <c:ptCount val="11"/>
                <c:pt idx="5">
                  <c:v>10</c:v>
                </c:pt>
              </c:numCache>
            </c:numRef>
          </c:yVal>
          <c:smooth val="0"/>
          <c:extLst>
            <c:ext xmlns:c16="http://schemas.microsoft.com/office/drawing/2014/chart" uri="{C3380CC4-5D6E-409C-BE32-E72D297353CC}">
              <c16:uniqueId val="{00000003-6706-446D-A703-31607C002BCF}"/>
            </c:ext>
          </c:extLst>
        </c:ser>
        <c:ser>
          <c:idx val="3"/>
          <c:order val="3"/>
          <c:tx>
            <c:v>Costo Materia Prima 3</c:v>
          </c:tx>
          <c:spPr>
            <a:ln w="19050" cap="rnd">
              <a:solidFill>
                <a:schemeClr val="accent4"/>
              </a:solidFill>
              <a:round/>
            </a:ln>
            <a:effectLst/>
          </c:spPr>
          <c:marker>
            <c:symbol val="none"/>
          </c:marker>
          <c:xVal>
            <c:numRef>
              <c:f>Sensibilidad!$B$7:$B$17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Sensibilidad!$J$7:$J$17</c:f>
              <c:numCache>
                <c:formatCode>#,##0.00</c:formatCode>
                <c:ptCount val="11"/>
                <c:pt idx="5">
                  <c:v>10</c:v>
                </c:pt>
              </c:numCache>
            </c:numRef>
          </c:yVal>
          <c:smooth val="0"/>
          <c:extLst>
            <c:ext xmlns:c16="http://schemas.microsoft.com/office/drawing/2014/chart" uri="{C3380CC4-5D6E-409C-BE32-E72D297353CC}">
              <c16:uniqueId val="{00000004-6706-446D-A703-31607C002BCF}"/>
            </c:ext>
          </c:extLst>
        </c:ser>
        <c:ser>
          <c:idx val="4"/>
          <c:order val="4"/>
          <c:tx>
            <c:v>Costo Materia Prima 4</c:v>
          </c:tx>
          <c:spPr>
            <a:ln w="19050" cap="rnd">
              <a:solidFill>
                <a:schemeClr val="accent5"/>
              </a:solidFill>
              <a:round/>
            </a:ln>
            <a:effectLst/>
          </c:spPr>
          <c:marker>
            <c:symbol val="none"/>
          </c:marker>
          <c:xVal>
            <c:numRef>
              <c:f>Sensibilidad!$B$7:$B$17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Sensibilidad!$L$7:$L$17</c:f>
              <c:numCache>
                <c:formatCode>#,##0.00</c:formatCode>
                <c:ptCount val="11"/>
                <c:pt idx="5">
                  <c:v>10</c:v>
                </c:pt>
              </c:numCache>
            </c:numRef>
          </c:yVal>
          <c:smooth val="0"/>
          <c:extLst>
            <c:ext xmlns:c16="http://schemas.microsoft.com/office/drawing/2014/chart" uri="{C3380CC4-5D6E-409C-BE32-E72D297353CC}">
              <c16:uniqueId val="{00000005-6706-446D-A703-31607C002BCF}"/>
            </c:ext>
          </c:extLst>
        </c:ser>
        <c:ser>
          <c:idx val="5"/>
          <c:order val="5"/>
          <c:tx>
            <c:v>Costo RRHH</c:v>
          </c:tx>
          <c:spPr>
            <a:ln w="19050" cap="rnd">
              <a:solidFill>
                <a:schemeClr val="accent6"/>
              </a:solidFill>
              <a:round/>
            </a:ln>
            <a:effectLst/>
          </c:spPr>
          <c:marker>
            <c:symbol val="none"/>
          </c:marker>
          <c:xVal>
            <c:numRef>
              <c:f>Sensibilidad!$B$7:$B$17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Sensibilidad!$N$7:$N$17</c:f>
              <c:numCache>
                <c:formatCode>#,##0.00</c:formatCode>
                <c:ptCount val="11"/>
                <c:pt idx="5">
                  <c:v>10</c:v>
                </c:pt>
              </c:numCache>
            </c:numRef>
          </c:yVal>
          <c:smooth val="0"/>
          <c:extLst>
            <c:ext xmlns:c16="http://schemas.microsoft.com/office/drawing/2014/chart" uri="{C3380CC4-5D6E-409C-BE32-E72D297353CC}">
              <c16:uniqueId val="{00000006-6706-446D-A703-31607C002BCF}"/>
            </c:ext>
          </c:extLst>
        </c:ser>
        <c:ser>
          <c:idx val="6"/>
          <c:order val="6"/>
          <c:tx>
            <c:v>Inv Amort Tangibles</c:v>
          </c:tx>
          <c:spPr>
            <a:ln w="19050" cap="rnd">
              <a:solidFill>
                <a:schemeClr val="accent1">
                  <a:lumMod val="60000"/>
                </a:schemeClr>
              </a:solidFill>
              <a:round/>
            </a:ln>
            <a:effectLst/>
          </c:spPr>
          <c:marker>
            <c:symbol val="none"/>
          </c:marker>
          <c:xVal>
            <c:numRef>
              <c:f>Sensibilidad!$B$7:$B$17</c:f>
              <c:numCache>
                <c:formatCode>0%</c:formatCode>
                <c:ptCount val="11"/>
                <c:pt idx="0">
                  <c:v>-0.5</c:v>
                </c:pt>
                <c:pt idx="1">
                  <c:v>-0.4</c:v>
                </c:pt>
                <c:pt idx="2">
                  <c:v>-0.3</c:v>
                </c:pt>
                <c:pt idx="3">
                  <c:v>-0.2</c:v>
                </c:pt>
                <c:pt idx="4">
                  <c:v>-0.1</c:v>
                </c:pt>
                <c:pt idx="5">
                  <c:v>0</c:v>
                </c:pt>
                <c:pt idx="6">
                  <c:v>0.1</c:v>
                </c:pt>
                <c:pt idx="7">
                  <c:v>0.2</c:v>
                </c:pt>
                <c:pt idx="8">
                  <c:v>0.3</c:v>
                </c:pt>
                <c:pt idx="9">
                  <c:v>0.4</c:v>
                </c:pt>
                <c:pt idx="10">
                  <c:v>0.5</c:v>
                </c:pt>
              </c:numCache>
            </c:numRef>
          </c:xVal>
          <c:yVal>
            <c:numRef>
              <c:f>Sensibilidad!$P$7:$P$17</c:f>
              <c:numCache>
                <c:formatCode>#,##0.00</c:formatCode>
                <c:ptCount val="11"/>
                <c:pt idx="5">
                  <c:v>10</c:v>
                </c:pt>
              </c:numCache>
            </c:numRef>
          </c:yVal>
          <c:smooth val="0"/>
          <c:extLst>
            <c:ext xmlns:c16="http://schemas.microsoft.com/office/drawing/2014/chart" uri="{C3380CC4-5D6E-409C-BE32-E72D297353CC}">
              <c16:uniqueId val="{00000007-6706-446D-A703-31607C002BCF}"/>
            </c:ext>
          </c:extLst>
        </c:ser>
        <c:dLbls>
          <c:showLegendKey val="0"/>
          <c:showVal val="0"/>
          <c:showCatName val="0"/>
          <c:showSerName val="0"/>
          <c:showPercent val="0"/>
          <c:showBubbleSize val="0"/>
        </c:dLbls>
        <c:axId val="688920335"/>
        <c:axId val="688934479"/>
      </c:scatterChart>
      <c:valAx>
        <c:axId val="688920335"/>
        <c:scaling>
          <c:orientation val="minMax"/>
          <c:max val="0.5"/>
          <c:min val="-0.5"/>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688934479"/>
        <c:crosses val="autoZero"/>
        <c:crossBetween val="midCat"/>
        <c:majorUnit val="5.000000000000001E-2"/>
      </c:valAx>
      <c:valAx>
        <c:axId val="68893447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688920335"/>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10" Type="http://schemas.openxmlformats.org/officeDocument/2006/relationships/chart" Target="../charts/chart30.xml"/><Relationship Id="rId19" Type="http://schemas.openxmlformats.org/officeDocument/2006/relationships/chart" Target="../charts/chart39.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png"/><Relationship Id="rId1" Type="http://schemas.openxmlformats.org/officeDocument/2006/relationships/image" Target="../media/image2.emf"/><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25</xdr:col>
      <xdr:colOff>19051</xdr:colOff>
      <xdr:row>2</xdr:row>
      <xdr:rowOff>104776</xdr:rowOff>
    </xdr:from>
    <xdr:to>
      <xdr:col>32</xdr:col>
      <xdr:colOff>312079</xdr:colOff>
      <xdr:row>17</xdr:row>
      <xdr:rowOff>47626</xdr:rowOff>
    </xdr:to>
    <xdr:pic>
      <xdr:nvPicPr>
        <xdr:cNvPr id="2" name="Imagen 1">
          <a:extLst>
            <a:ext uri="{FF2B5EF4-FFF2-40B4-BE49-F238E27FC236}">
              <a16:creationId xmlns:a16="http://schemas.microsoft.com/office/drawing/2014/main" id="{DDC2D122-01B7-4846-8869-A331B17CFEAF}"/>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24079201" y="485776"/>
          <a:ext cx="5627028" cy="375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0.40787</cdr:x>
      <cdr:y>0.15545</cdr:y>
    </cdr:from>
    <cdr:to>
      <cdr:x>0.48165</cdr:x>
      <cdr:y>0.92353</cdr:y>
    </cdr:to>
    <cdr:grpSp>
      <cdr:nvGrpSpPr>
        <cdr:cNvPr id="2" name="Grupo 1">
          <a:extLst xmlns:a="http://schemas.openxmlformats.org/drawingml/2006/main">
            <a:ext uri="{FF2B5EF4-FFF2-40B4-BE49-F238E27FC236}">
              <a16:creationId xmlns:a16="http://schemas.microsoft.com/office/drawing/2014/main" id="{C0941493-451B-4CA9-9CAF-4B435945D4A7}"/>
            </a:ext>
          </a:extLst>
        </cdr:cNvPr>
        <cdr:cNvGrpSpPr/>
      </cdr:nvGrpSpPr>
      <cdr:grpSpPr>
        <a:xfrm xmlns:a="http://schemas.openxmlformats.org/drawingml/2006/main">
          <a:off x="3422650" y="593731"/>
          <a:ext cx="619127" cy="2933700"/>
          <a:chOff x="0" y="0"/>
          <a:chExt cx="619125" cy="2933700"/>
        </a:xfrm>
      </cdr:grpSpPr>
      <cdr:cxnSp macro="">
        <cdr:nvCxnSpPr>
          <cdr:cNvPr id="6" name="Conector recto 5">
            <a:extLst xmlns:a="http://schemas.openxmlformats.org/drawingml/2006/main">
              <a:ext uri="{FF2B5EF4-FFF2-40B4-BE49-F238E27FC236}">
                <a16:creationId xmlns:a16="http://schemas.microsoft.com/office/drawing/2014/main" id="{D1C4D58D-5310-462A-B581-096790DA1ED1}"/>
              </a:ext>
            </a:extLst>
          </cdr:cNvPr>
          <cdr:cNvCxnSpPr/>
        </cdr:nvCxnSpPr>
        <cdr:spPr>
          <a:xfrm xmlns:a="http://schemas.openxmlformats.org/drawingml/2006/main">
            <a:off x="323850" y="352425"/>
            <a:ext cx="0" cy="2581275"/>
          </a:xfrm>
          <a:prstGeom xmlns:a="http://schemas.openxmlformats.org/drawingml/2006/main" prst="line">
            <a:avLst/>
          </a:prstGeom>
          <a:ln xmlns:a="http://schemas.openxmlformats.org/drawingml/2006/main" w="28575"/>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7" name="CuadroTexto 4">
            <a:extLst xmlns:a="http://schemas.openxmlformats.org/drawingml/2006/main">
              <a:ext uri="{FF2B5EF4-FFF2-40B4-BE49-F238E27FC236}">
                <a16:creationId xmlns:a16="http://schemas.microsoft.com/office/drawing/2014/main" id="{C74C5AAF-F67F-4F0B-A52E-1ED59396CFC2}"/>
              </a:ext>
            </a:extLst>
          </cdr:cNvPr>
          <cdr:cNvSpPr txBox="1"/>
        </cdr:nvSpPr>
        <cdr:spPr>
          <a:xfrm xmlns:a="http://schemas.openxmlformats.org/drawingml/2006/main">
            <a:off x="0" y="0"/>
            <a:ext cx="619125" cy="333375"/>
          </a:xfrm>
          <a:prstGeom xmlns:a="http://schemas.openxmlformats.org/drawingml/2006/main" prst="rect">
            <a:avLst/>
          </a:prstGeom>
          <a:solidFill xmlns:a="http://schemas.openxmlformats.org/drawingml/2006/main">
            <a:schemeClr val="lt1"/>
          </a:solidFill>
          <a:ln xmlns:a="http://schemas.openxmlformats.org/drawingml/2006/main" w="25400" cmpd="sng">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2000"/>
              <a:t>PE</a:t>
            </a:r>
          </a:p>
        </cdr:txBody>
      </cdr:sp>
    </cdr:grpSp>
  </cdr:relSizeAnchor>
  <cdr:relSizeAnchor xmlns:cdr="http://schemas.openxmlformats.org/drawingml/2006/chartDrawing">
    <cdr:from>
      <cdr:x>0.40446</cdr:x>
      <cdr:y>0.27016</cdr:y>
    </cdr:from>
    <cdr:to>
      <cdr:x>0.47824</cdr:x>
      <cdr:y>0.92352</cdr:y>
    </cdr:to>
    <cdr:grpSp>
      <cdr:nvGrpSpPr>
        <cdr:cNvPr id="3" name="Grupo 2">
          <a:extLst xmlns:a="http://schemas.openxmlformats.org/drawingml/2006/main">
            <a:ext uri="{FF2B5EF4-FFF2-40B4-BE49-F238E27FC236}">
              <a16:creationId xmlns:a16="http://schemas.microsoft.com/office/drawing/2014/main" id="{68B5D6C5-E4C6-402B-A57B-0EFED8049BDE}"/>
            </a:ext>
          </a:extLst>
        </cdr:cNvPr>
        <cdr:cNvGrpSpPr/>
      </cdr:nvGrpSpPr>
      <cdr:grpSpPr>
        <a:xfrm xmlns:a="http://schemas.openxmlformats.org/drawingml/2006/main">
          <a:off x="3394037" y="1031883"/>
          <a:ext cx="619126" cy="2495524"/>
          <a:chOff x="409575" y="438150"/>
          <a:chExt cx="619125" cy="2495550"/>
        </a:xfrm>
      </cdr:grpSpPr>
      <cdr:cxnSp macro="">
        <cdr:nvCxnSpPr>
          <cdr:cNvPr id="4" name="Conector recto 3">
            <a:extLst xmlns:a="http://schemas.openxmlformats.org/drawingml/2006/main">
              <a:ext uri="{FF2B5EF4-FFF2-40B4-BE49-F238E27FC236}">
                <a16:creationId xmlns:a16="http://schemas.microsoft.com/office/drawing/2014/main" id="{FC1454E1-48AF-4E14-BBC7-B88918F29079}"/>
              </a:ext>
            </a:extLst>
          </cdr:cNvPr>
          <cdr:cNvCxnSpPr/>
        </cdr:nvCxnSpPr>
        <cdr:spPr>
          <a:xfrm xmlns:a="http://schemas.openxmlformats.org/drawingml/2006/main">
            <a:off x="733425" y="771525"/>
            <a:ext cx="0" cy="2162175"/>
          </a:xfrm>
          <a:prstGeom xmlns:a="http://schemas.openxmlformats.org/drawingml/2006/main" prst="line">
            <a:avLst/>
          </a:prstGeom>
          <a:ln xmlns:a="http://schemas.openxmlformats.org/drawingml/2006/main" w="28575">
            <a:solidFill>
              <a:srgbClr val="FF0000"/>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5" name="CuadroTexto 24">
            <a:extLst xmlns:a="http://schemas.openxmlformats.org/drawingml/2006/main">
              <a:ext uri="{FF2B5EF4-FFF2-40B4-BE49-F238E27FC236}">
                <a16:creationId xmlns:a16="http://schemas.microsoft.com/office/drawing/2014/main" id="{1A550293-FA55-467D-AE7F-9286CBD32051}"/>
              </a:ext>
            </a:extLst>
          </cdr:cNvPr>
          <cdr:cNvSpPr txBox="1"/>
        </cdr:nvSpPr>
        <cdr:spPr>
          <a:xfrm xmlns:a="http://schemas.openxmlformats.org/drawingml/2006/main">
            <a:off x="409575" y="438150"/>
            <a:ext cx="619125" cy="333375"/>
          </a:xfrm>
          <a:prstGeom xmlns:a="http://schemas.openxmlformats.org/drawingml/2006/main" prst="rect">
            <a:avLst/>
          </a:prstGeom>
          <a:solidFill xmlns:a="http://schemas.openxmlformats.org/drawingml/2006/main">
            <a:schemeClr val="lt1"/>
          </a:solidFill>
          <a:ln xmlns:a="http://schemas.openxmlformats.org/drawingml/2006/main" w="25400" cmpd="sng">
            <a:solidFill>
              <a:srgbClr val="FF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1600">
                <a:solidFill>
                  <a:srgbClr val="FF0000"/>
                </a:solidFill>
              </a:rPr>
              <a:t>Prod</a:t>
            </a:r>
          </a:p>
        </cdr:txBody>
      </cdr:sp>
    </cdr:grpSp>
  </cdr:relSizeAnchor>
</c:userShapes>
</file>

<file path=xl/drawings/drawing11.xml><?xml version="1.0" encoding="utf-8"?>
<c:userShapes xmlns:c="http://schemas.openxmlformats.org/drawingml/2006/chart">
  <cdr:relSizeAnchor xmlns:cdr="http://schemas.openxmlformats.org/drawingml/2006/chartDrawing">
    <cdr:from>
      <cdr:x>0.42376</cdr:x>
      <cdr:y>0.15544</cdr:y>
    </cdr:from>
    <cdr:to>
      <cdr:x>0.49754</cdr:x>
      <cdr:y>0.92352</cdr:y>
    </cdr:to>
    <cdr:grpSp>
      <cdr:nvGrpSpPr>
        <cdr:cNvPr id="2" name="Grupo 1">
          <a:extLst xmlns:a="http://schemas.openxmlformats.org/drawingml/2006/main">
            <a:ext uri="{FF2B5EF4-FFF2-40B4-BE49-F238E27FC236}">
              <a16:creationId xmlns:a16="http://schemas.microsoft.com/office/drawing/2014/main" id="{C0941493-451B-4CA9-9CAF-4B435945D4A7}"/>
            </a:ext>
          </a:extLst>
        </cdr:cNvPr>
        <cdr:cNvGrpSpPr/>
      </cdr:nvGrpSpPr>
      <cdr:grpSpPr>
        <a:xfrm xmlns:a="http://schemas.openxmlformats.org/drawingml/2006/main">
          <a:off x="3556034" y="593692"/>
          <a:ext cx="619127" cy="2933700"/>
          <a:chOff x="0" y="0"/>
          <a:chExt cx="619125" cy="2933700"/>
        </a:xfrm>
      </cdr:grpSpPr>
      <cdr:cxnSp macro="">
        <cdr:nvCxnSpPr>
          <cdr:cNvPr id="6" name="Conector recto 5">
            <a:extLst xmlns:a="http://schemas.openxmlformats.org/drawingml/2006/main">
              <a:ext uri="{FF2B5EF4-FFF2-40B4-BE49-F238E27FC236}">
                <a16:creationId xmlns:a16="http://schemas.microsoft.com/office/drawing/2014/main" id="{D1C4D58D-5310-462A-B581-096790DA1ED1}"/>
              </a:ext>
            </a:extLst>
          </cdr:cNvPr>
          <cdr:cNvCxnSpPr/>
        </cdr:nvCxnSpPr>
        <cdr:spPr>
          <a:xfrm xmlns:a="http://schemas.openxmlformats.org/drawingml/2006/main">
            <a:off x="323850" y="352425"/>
            <a:ext cx="0" cy="2581275"/>
          </a:xfrm>
          <a:prstGeom xmlns:a="http://schemas.openxmlformats.org/drawingml/2006/main" prst="line">
            <a:avLst/>
          </a:prstGeom>
          <a:ln xmlns:a="http://schemas.openxmlformats.org/drawingml/2006/main" w="28575"/>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7" name="CuadroTexto 4">
            <a:extLst xmlns:a="http://schemas.openxmlformats.org/drawingml/2006/main">
              <a:ext uri="{FF2B5EF4-FFF2-40B4-BE49-F238E27FC236}">
                <a16:creationId xmlns:a16="http://schemas.microsoft.com/office/drawing/2014/main" id="{C74C5AAF-F67F-4F0B-A52E-1ED59396CFC2}"/>
              </a:ext>
            </a:extLst>
          </cdr:cNvPr>
          <cdr:cNvSpPr txBox="1"/>
        </cdr:nvSpPr>
        <cdr:spPr>
          <a:xfrm xmlns:a="http://schemas.openxmlformats.org/drawingml/2006/main">
            <a:off x="0" y="0"/>
            <a:ext cx="619125" cy="333375"/>
          </a:xfrm>
          <a:prstGeom xmlns:a="http://schemas.openxmlformats.org/drawingml/2006/main" prst="rect">
            <a:avLst/>
          </a:prstGeom>
          <a:solidFill xmlns:a="http://schemas.openxmlformats.org/drawingml/2006/main">
            <a:schemeClr val="lt1"/>
          </a:solidFill>
          <a:ln xmlns:a="http://schemas.openxmlformats.org/drawingml/2006/main" w="25400" cmpd="sng">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2000"/>
              <a:t>PE</a:t>
            </a:r>
          </a:p>
        </cdr:txBody>
      </cdr:sp>
    </cdr:grpSp>
  </cdr:relSizeAnchor>
  <cdr:relSizeAnchor xmlns:cdr="http://schemas.openxmlformats.org/drawingml/2006/chartDrawing">
    <cdr:from>
      <cdr:x>0.53727</cdr:x>
      <cdr:y>0.27265</cdr:y>
    </cdr:from>
    <cdr:to>
      <cdr:x>0.61105</cdr:x>
      <cdr:y>0.92602</cdr:y>
    </cdr:to>
    <cdr:grpSp>
      <cdr:nvGrpSpPr>
        <cdr:cNvPr id="3" name="Grupo 2">
          <a:extLst xmlns:a="http://schemas.openxmlformats.org/drawingml/2006/main">
            <a:ext uri="{FF2B5EF4-FFF2-40B4-BE49-F238E27FC236}">
              <a16:creationId xmlns:a16="http://schemas.microsoft.com/office/drawing/2014/main" id="{68B5D6C5-E4C6-402B-A57B-0EFED8049BDE}"/>
            </a:ext>
          </a:extLst>
        </cdr:cNvPr>
        <cdr:cNvGrpSpPr/>
      </cdr:nvGrpSpPr>
      <cdr:grpSpPr>
        <a:xfrm xmlns:a="http://schemas.openxmlformats.org/drawingml/2006/main">
          <a:off x="4508474" y="1041393"/>
          <a:ext cx="619127" cy="2495563"/>
          <a:chOff x="409575" y="438150"/>
          <a:chExt cx="619125" cy="2495550"/>
        </a:xfrm>
      </cdr:grpSpPr>
      <cdr:cxnSp macro="">
        <cdr:nvCxnSpPr>
          <cdr:cNvPr id="4" name="Conector recto 3">
            <a:extLst xmlns:a="http://schemas.openxmlformats.org/drawingml/2006/main">
              <a:ext uri="{FF2B5EF4-FFF2-40B4-BE49-F238E27FC236}">
                <a16:creationId xmlns:a16="http://schemas.microsoft.com/office/drawing/2014/main" id="{FC1454E1-48AF-4E14-BBC7-B88918F29079}"/>
              </a:ext>
            </a:extLst>
          </cdr:cNvPr>
          <cdr:cNvCxnSpPr/>
        </cdr:nvCxnSpPr>
        <cdr:spPr>
          <a:xfrm xmlns:a="http://schemas.openxmlformats.org/drawingml/2006/main">
            <a:off x="733425" y="771525"/>
            <a:ext cx="0" cy="2162175"/>
          </a:xfrm>
          <a:prstGeom xmlns:a="http://schemas.openxmlformats.org/drawingml/2006/main" prst="line">
            <a:avLst/>
          </a:prstGeom>
          <a:ln xmlns:a="http://schemas.openxmlformats.org/drawingml/2006/main" w="28575">
            <a:solidFill>
              <a:srgbClr val="FF0000"/>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5" name="CuadroTexto 24">
            <a:extLst xmlns:a="http://schemas.openxmlformats.org/drawingml/2006/main">
              <a:ext uri="{FF2B5EF4-FFF2-40B4-BE49-F238E27FC236}">
                <a16:creationId xmlns:a16="http://schemas.microsoft.com/office/drawing/2014/main" id="{1A550293-FA55-467D-AE7F-9286CBD32051}"/>
              </a:ext>
            </a:extLst>
          </cdr:cNvPr>
          <cdr:cNvSpPr txBox="1"/>
        </cdr:nvSpPr>
        <cdr:spPr>
          <a:xfrm xmlns:a="http://schemas.openxmlformats.org/drawingml/2006/main">
            <a:off x="409575" y="438150"/>
            <a:ext cx="619125" cy="333375"/>
          </a:xfrm>
          <a:prstGeom xmlns:a="http://schemas.openxmlformats.org/drawingml/2006/main" prst="rect">
            <a:avLst/>
          </a:prstGeom>
          <a:solidFill xmlns:a="http://schemas.openxmlformats.org/drawingml/2006/main">
            <a:schemeClr val="lt1"/>
          </a:solidFill>
          <a:ln xmlns:a="http://schemas.openxmlformats.org/drawingml/2006/main" w="25400" cmpd="sng">
            <a:solidFill>
              <a:srgbClr val="FF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1600">
                <a:solidFill>
                  <a:srgbClr val="FF0000"/>
                </a:solidFill>
              </a:rPr>
              <a:t>Prod</a:t>
            </a:r>
          </a:p>
        </cdr:txBody>
      </cdr:sp>
    </cdr:grpSp>
  </cdr:relSizeAnchor>
</c:userShapes>
</file>

<file path=xl/drawings/drawing12.xml><?xml version="1.0" encoding="utf-8"?>
<c:userShapes xmlns:c="http://schemas.openxmlformats.org/drawingml/2006/chart">
  <cdr:relSizeAnchor xmlns:cdr="http://schemas.openxmlformats.org/drawingml/2006/chartDrawing">
    <cdr:from>
      <cdr:x>0.40219</cdr:x>
      <cdr:y>0.15793</cdr:y>
    </cdr:from>
    <cdr:to>
      <cdr:x>0.47597</cdr:x>
      <cdr:y>0.92601</cdr:y>
    </cdr:to>
    <cdr:grpSp>
      <cdr:nvGrpSpPr>
        <cdr:cNvPr id="2" name="Grupo 1">
          <a:extLst xmlns:a="http://schemas.openxmlformats.org/drawingml/2006/main">
            <a:ext uri="{FF2B5EF4-FFF2-40B4-BE49-F238E27FC236}">
              <a16:creationId xmlns:a16="http://schemas.microsoft.com/office/drawing/2014/main" id="{C0941493-451B-4CA9-9CAF-4B435945D4A7}"/>
            </a:ext>
          </a:extLst>
        </cdr:cNvPr>
        <cdr:cNvGrpSpPr/>
      </cdr:nvGrpSpPr>
      <cdr:grpSpPr>
        <a:xfrm xmlns:a="http://schemas.openxmlformats.org/drawingml/2006/main">
          <a:off x="3374997" y="603232"/>
          <a:ext cx="619127" cy="2933700"/>
          <a:chOff x="0" y="0"/>
          <a:chExt cx="619125" cy="2933700"/>
        </a:xfrm>
      </cdr:grpSpPr>
      <cdr:cxnSp macro="">
        <cdr:nvCxnSpPr>
          <cdr:cNvPr id="6" name="Conector recto 5">
            <a:extLst xmlns:a="http://schemas.openxmlformats.org/drawingml/2006/main">
              <a:ext uri="{FF2B5EF4-FFF2-40B4-BE49-F238E27FC236}">
                <a16:creationId xmlns:a16="http://schemas.microsoft.com/office/drawing/2014/main" id="{D1C4D58D-5310-462A-B581-096790DA1ED1}"/>
              </a:ext>
            </a:extLst>
          </cdr:cNvPr>
          <cdr:cNvCxnSpPr/>
        </cdr:nvCxnSpPr>
        <cdr:spPr>
          <a:xfrm xmlns:a="http://schemas.openxmlformats.org/drawingml/2006/main">
            <a:off x="323850" y="352425"/>
            <a:ext cx="0" cy="2581275"/>
          </a:xfrm>
          <a:prstGeom xmlns:a="http://schemas.openxmlformats.org/drawingml/2006/main" prst="line">
            <a:avLst/>
          </a:prstGeom>
          <a:ln xmlns:a="http://schemas.openxmlformats.org/drawingml/2006/main" w="28575"/>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7" name="CuadroTexto 4">
            <a:extLst xmlns:a="http://schemas.openxmlformats.org/drawingml/2006/main">
              <a:ext uri="{FF2B5EF4-FFF2-40B4-BE49-F238E27FC236}">
                <a16:creationId xmlns:a16="http://schemas.microsoft.com/office/drawing/2014/main" id="{C74C5AAF-F67F-4F0B-A52E-1ED59396CFC2}"/>
              </a:ext>
            </a:extLst>
          </cdr:cNvPr>
          <cdr:cNvSpPr txBox="1"/>
        </cdr:nvSpPr>
        <cdr:spPr>
          <a:xfrm xmlns:a="http://schemas.openxmlformats.org/drawingml/2006/main">
            <a:off x="0" y="0"/>
            <a:ext cx="619125" cy="333375"/>
          </a:xfrm>
          <a:prstGeom xmlns:a="http://schemas.openxmlformats.org/drawingml/2006/main" prst="rect">
            <a:avLst/>
          </a:prstGeom>
          <a:solidFill xmlns:a="http://schemas.openxmlformats.org/drawingml/2006/main">
            <a:schemeClr val="lt1"/>
          </a:solidFill>
          <a:ln xmlns:a="http://schemas.openxmlformats.org/drawingml/2006/main" w="25400" cmpd="sng">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2000"/>
              <a:t>PE</a:t>
            </a:r>
          </a:p>
        </cdr:txBody>
      </cdr:sp>
    </cdr:grpSp>
  </cdr:relSizeAnchor>
  <cdr:relSizeAnchor xmlns:cdr="http://schemas.openxmlformats.org/drawingml/2006/chartDrawing">
    <cdr:from>
      <cdr:x>0.53727</cdr:x>
      <cdr:y>0.27265</cdr:y>
    </cdr:from>
    <cdr:to>
      <cdr:x>0.61105</cdr:x>
      <cdr:y>0.92602</cdr:y>
    </cdr:to>
    <cdr:grpSp>
      <cdr:nvGrpSpPr>
        <cdr:cNvPr id="3" name="Grupo 2">
          <a:extLst xmlns:a="http://schemas.openxmlformats.org/drawingml/2006/main">
            <a:ext uri="{FF2B5EF4-FFF2-40B4-BE49-F238E27FC236}">
              <a16:creationId xmlns:a16="http://schemas.microsoft.com/office/drawing/2014/main" id="{68B5D6C5-E4C6-402B-A57B-0EFED8049BDE}"/>
            </a:ext>
          </a:extLst>
        </cdr:cNvPr>
        <cdr:cNvGrpSpPr/>
      </cdr:nvGrpSpPr>
      <cdr:grpSpPr>
        <a:xfrm xmlns:a="http://schemas.openxmlformats.org/drawingml/2006/main">
          <a:off x="4508515" y="1041393"/>
          <a:ext cx="619127" cy="2495563"/>
          <a:chOff x="409575" y="438150"/>
          <a:chExt cx="619125" cy="2495550"/>
        </a:xfrm>
      </cdr:grpSpPr>
      <cdr:cxnSp macro="">
        <cdr:nvCxnSpPr>
          <cdr:cNvPr id="4" name="Conector recto 3">
            <a:extLst xmlns:a="http://schemas.openxmlformats.org/drawingml/2006/main">
              <a:ext uri="{FF2B5EF4-FFF2-40B4-BE49-F238E27FC236}">
                <a16:creationId xmlns:a16="http://schemas.microsoft.com/office/drawing/2014/main" id="{FC1454E1-48AF-4E14-BBC7-B88918F29079}"/>
              </a:ext>
            </a:extLst>
          </cdr:cNvPr>
          <cdr:cNvCxnSpPr/>
        </cdr:nvCxnSpPr>
        <cdr:spPr>
          <a:xfrm xmlns:a="http://schemas.openxmlformats.org/drawingml/2006/main">
            <a:off x="733425" y="771525"/>
            <a:ext cx="0" cy="2162175"/>
          </a:xfrm>
          <a:prstGeom xmlns:a="http://schemas.openxmlformats.org/drawingml/2006/main" prst="line">
            <a:avLst/>
          </a:prstGeom>
          <a:ln xmlns:a="http://schemas.openxmlformats.org/drawingml/2006/main" w="28575">
            <a:solidFill>
              <a:srgbClr val="FF0000"/>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5" name="CuadroTexto 24">
            <a:extLst xmlns:a="http://schemas.openxmlformats.org/drawingml/2006/main">
              <a:ext uri="{FF2B5EF4-FFF2-40B4-BE49-F238E27FC236}">
                <a16:creationId xmlns:a16="http://schemas.microsoft.com/office/drawing/2014/main" id="{1A550293-FA55-467D-AE7F-9286CBD32051}"/>
              </a:ext>
            </a:extLst>
          </cdr:cNvPr>
          <cdr:cNvSpPr txBox="1"/>
        </cdr:nvSpPr>
        <cdr:spPr>
          <a:xfrm xmlns:a="http://schemas.openxmlformats.org/drawingml/2006/main">
            <a:off x="409575" y="438150"/>
            <a:ext cx="619125" cy="333375"/>
          </a:xfrm>
          <a:prstGeom xmlns:a="http://schemas.openxmlformats.org/drawingml/2006/main" prst="rect">
            <a:avLst/>
          </a:prstGeom>
          <a:solidFill xmlns:a="http://schemas.openxmlformats.org/drawingml/2006/main">
            <a:schemeClr val="lt1"/>
          </a:solidFill>
          <a:ln xmlns:a="http://schemas.openxmlformats.org/drawingml/2006/main" w="25400" cmpd="sng">
            <a:solidFill>
              <a:srgbClr val="FF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1600">
                <a:solidFill>
                  <a:srgbClr val="FF0000"/>
                </a:solidFill>
              </a:rPr>
              <a:t>Prod</a:t>
            </a:r>
          </a:p>
        </cdr:txBody>
      </cdr:sp>
    </cdr:grpSp>
  </cdr:relSizeAnchor>
</c:userShapes>
</file>

<file path=xl/drawings/drawing13.xml><?xml version="1.0" encoding="utf-8"?>
<c:userShapes xmlns:c="http://schemas.openxmlformats.org/drawingml/2006/chart">
  <cdr:relSizeAnchor xmlns:cdr="http://schemas.openxmlformats.org/drawingml/2006/chartDrawing">
    <cdr:from>
      <cdr:x>0.50265</cdr:x>
      <cdr:y>0.15545</cdr:y>
    </cdr:from>
    <cdr:to>
      <cdr:x>0.57634</cdr:x>
      <cdr:y>0.92353</cdr:y>
    </cdr:to>
    <cdr:grpSp>
      <cdr:nvGrpSpPr>
        <cdr:cNvPr id="2" name="Grupo 1">
          <a:extLst xmlns:a="http://schemas.openxmlformats.org/drawingml/2006/main">
            <a:ext uri="{FF2B5EF4-FFF2-40B4-BE49-F238E27FC236}">
              <a16:creationId xmlns:a16="http://schemas.microsoft.com/office/drawing/2014/main" id="{C0941493-451B-4CA9-9CAF-4B435945D4A7}"/>
            </a:ext>
          </a:extLst>
        </cdr:cNvPr>
        <cdr:cNvGrpSpPr/>
      </cdr:nvGrpSpPr>
      <cdr:grpSpPr>
        <a:xfrm xmlns:a="http://schemas.openxmlformats.org/drawingml/2006/main">
          <a:off x="4222785" y="593745"/>
          <a:ext cx="619074" cy="2933700"/>
          <a:chOff x="0" y="0"/>
          <a:chExt cx="619125" cy="2933700"/>
        </a:xfrm>
      </cdr:grpSpPr>
      <cdr:cxnSp macro="">
        <cdr:nvCxnSpPr>
          <cdr:cNvPr id="6" name="Conector recto 5">
            <a:extLst xmlns:a="http://schemas.openxmlformats.org/drawingml/2006/main">
              <a:ext uri="{FF2B5EF4-FFF2-40B4-BE49-F238E27FC236}">
                <a16:creationId xmlns:a16="http://schemas.microsoft.com/office/drawing/2014/main" id="{D1C4D58D-5310-462A-B581-096790DA1ED1}"/>
              </a:ext>
            </a:extLst>
          </cdr:cNvPr>
          <cdr:cNvCxnSpPr/>
        </cdr:nvCxnSpPr>
        <cdr:spPr>
          <a:xfrm xmlns:a="http://schemas.openxmlformats.org/drawingml/2006/main">
            <a:off x="323850" y="352425"/>
            <a:ext cx="0" cy="2581275"/>
          </a:xfrm>
          <a:prstGeom xmlns:a="http://schemas.openxmlformats.org/drawingml/2006/main" prst="line">
            <a:avLst/>
          </a:prstGeom>
          <a:ln xmlns:a="http://schemas.openxmlformats.org/drawingml/2006/main" w="28575"/>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7" name="CuadroTexto 4">
            <a:extLst xmlns:a="http://schemas.openxmlformats.org/drawingml/2006/main">
              <a:ext uri="{FF2B5EF4-FFF2-40B4-BE49-F238E27FC236}">
                <a16:creationId xmlns:a16="http://schemas.microsoft.com/office/drawing/2014/main" id="{C74C5AAF-F67F-4F0B-A52E-1ED59396CFC2}"/>
              </a:ext>
            </a:extLst>
          </cdr:cNvPr>
          <cdr:cNvSpPr txBox="1"/>
        </cdr:nvSpPr>
        <cdr:spPr>
          <a:xfrm xmlns:a="http://schemas.openxmlformats.org/drawingml/2006/main">
            <a:off x="0" y="0"/>
            <a:ext cx="619125" cy="333375"/>
          </a:xfrm>
          <a:prstGeom xmlns:a="http://schemas.openxmlformats.org/drawingml/2006/main" prst="rect">
            <a:avLst/>
          </a:prstGeom>
          <a:solidFill xmlns:a="http://schemas.openxmlformats.org/drawingml/2006/main">
            <a:schemeClr val="lt1"/>
          </a:solidFill>
          <a:ln xmlns:a="http://schemas.openxmlformats.org/drawingml/2006/main" w="25400" cmpd="sng">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2000"/>
              <a:t>PE</a:t>
            </a:r>
          </a:p>
        </cdr:txBody>
      </cdr:sp>
    </cdr:grpSp>
  </cdr:relSizeAnchor>
  <cdr:relSizeAnchor xmlns:cdr="http://schemas.openxmlformats.org/drawingml/2006/chartDrawing">
    <cdr:from>
      <cdr:x>0.44822</cdr:x>
      <cdr:y>0.26766</cdr:y>
    </cdr:from>
    <cdr:to>
      <cdr:x>0.52191</cdr:x>
      <cdr:y>0.92103</cdr:y>
    </cdr:to>
    <cdr:grpSp>
      <cdr:nvGrpSpPr>
        <cdr:cNvPr id="3" name="Grupo 2">
          <a:extLst xmlns:a="http://schemas.openxmlformats.org/drawingml/2006/main">
            <a:ext uri="{FF2B5EF4-FFF2-40B4-BE49-F238E27FC236}">
              <a16:creationId xmlns:a16="http://schemas.microsoft.com/office/drawing/2014/main" id="{68B5D6C5-E4C6-402B-A57B-0EFED8049BDE}"/>
            </a:ext>
          </a:extLst>
        </cdr:cNvPr>
        <cdr:cNvGrpSpPr/>
      </cdr:nvGrpSpPr>
      <cdr:grpSpPr>
        <a:xfrm xmlns:a="http://schemas.openxmlformats.org/drawingml/2006/main">
          <a:off x="3765519" y="1022334"/>
          <a:ext cx="619074" cy="2495562"/>
          <a:chOff x="409575" y="438150"/>
          <a:chExt cx="619125" cy="2495550"/>
        </a:xfrm>
      </cdr:grpSpPr>
      <cdr:cxnSp macro="">
        <cdr:nvCxnSpPr>
          <cdr:cNvPr id="4" name="Conector recto 3">
            <a:extLst xmlns:a="http://schemas.openxmlformats.org/drawingml/2006/main">
              <a:ext uri="{FF2B5EF4-FFF2-40B4-BE49-F238E27FC236}">
                <a16:creationId xmlns:a16="http://schemas.microsoft.com/office/drawing/2014/main" id="{FC1454E1-48AF-4E14-BBC7-B88918F29079}"/>
              </a:ext>
            </a:extLst>
          </cdr:cNvPr>
          <cdr:cNvCxnSpPr/>
        </cdr:nvCxnSpPr>
        <cdr:spPr>
          <a:xfrm xmlns:a="http://schemas.openxmlformats.org/drawingml/2006/main">
            <a:off x="733425" y="771525"/>
            <a:ext cx="0" cy="2162175"/>
          </a:xfrm>
          <a:prstGeom xmlns:a="http://schemas.openxmlformats.org/drawingml/2006/main" prst="line">
            <a:avLst/>
          </a:prstGeom>
          <a:ln xmlns:a="http://schemas.openxmlformats.org/drawingml/2006/main" w="28575">
            <a:solidFill>
              <a:srgbClr val="FF0000"/>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5" name="CuadroTexto 24">
            <a:extLst xmlns:a="http://schemas.openxmlformats.org/drawingml/2006/main">
              <a:ext uri="{FF2B5EF4-FFF2-40B4-BE49-F238E27FC236}">
                <a16:creationId xmlns:a16="http://schemas.microsoft.com/office/drawing/2014/main" id="{1A550293-FA55-467D-AE7F-9286CBD32051}"/>
              </a:ext>
            </a:extLst>
          </cdr:cNvPr>
          <cdr:cNvSpPr txBox="1"/>
        </cdr:nvSpPr>
        <cdr:spPr>
          <a:xfrm xmlns:a="http://schemas.openxmlformats.org/drawingml/2006/main">
            <a:off x="409575" y="438150"/>
            <a:ext cx="619125" cy="333375"/>
          </a:xfrm>
          <a:prstGeom xmlns:a="http://schemas.openxmlformats.org/drawingml/2006/main" prst="rect">
            <a:avLst/>
          </a:prstGeom>
          <a:solidFill xmlns:a="http://schemas.openxmlformats.org/drawingml/2006/main">
            <a:schemeClr val="lt1"/>
          </a:solidFill>
          <a:ln xmlns:a="http://schemas.openxmlformats.org/drawingml/2006/main" w="25400" cmpd="sng">
            <a:solidFill>
              <a:srgbClr val="FF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1600">
                <a:solidFill>
                  <a:srgbClr val="FF0000"/>
                </a:solidFill>
              </a:rPr>
              <a:t>Prod</a:t>
            </a:r>
          </a:p>
        </cdr:txBody>
      </cdr:sp>
    </cdr:grpSp>
  </cdr:relSizeAnchor>
</c:userShapes>
</file>

<file path=xl/drawings/drawing14.xml><?xml version="1.0" encoding="utf-8"?>
<c:userShapes xmlns:c="http://schemas.openxmlformats.org/drawingml/2006/chart">
  <cdr:relSizeAnchor xmlns:cdr="http://schemas.openxmlformats.org/drawingml/2006/chartDrawing">
    <cdr:from>
      <cdr:x>0.51285</cdr:x>
      <cdr:y>0.15295</cdr:y>
    </cdr:from>
    <cdr:to>
      <cdr:x>0.58654</cdr:x>
      <cdr:y>0.92103</cdr:y>
    </cdr:to>
    <cdr:grpSp>
      <cdr:nvGrpSpPr>
        <cdr:cNvPr id="2" name="Grupo 1">
          <a:extLst xmlns:a="http://schemas.openxmlformats.org/drawingml/2006/main">
            <a:ext uri="{FF2B5EF4-FFF2-40B4-BE49-F238E27FC236}">
              <a16:creationId xmlns:a16="http://schemas.microsoft.com/office/drawing/2014/main" id="{C0941493-451B-4CA9-9CAF-4B435945D4A7}"/>
            </a:ext>
          </a:extLst>
        </cdr:cNvPr>
        <cdr:cNvGrpSpPr/>
      </cdr:nvGrpSpPr>
      <cdr:grpSpPr>
        <a:xfrm xmlns:a="http://schemas.openxmlformats.org/drawingml/2006/main">
          <a:off x="4308478" y="584206"/>
          <a:ext cx="619074" cy="2933700"/>
          <a:chOff x="0" y="0"/>
          <a:chExt cx="619125" cy="2933700"/>
        </a:xfrm>
      </cdr:grpSpPr>
      <cdr:cxnSp macro="">
        <cdr:nvCxnSpPr>
          <cdr:cNvPr id="6" name="Conector recto 5">
            <a:extLst xmlns:a="http://schemas.openxmlformats.org/drawingml/2006/main">
              <a:ext uri="{FF2B5EF4-FFF2-40B4-BE49-F238E27FC236}">
                <a16:creationId xmlns:a16="http://schemas.microsoft.com/office/drawing/2014/main" id="{D1C4D58D-5310-462A-B581-096790DA1ED1}"/>
              </a:ext>
            </a:extLst>
          </cdr:cNvPr>
          <cdr:cNvCxnSpPr/>
        </cdr:nvCxnSpPr>
        <cdr:spPr>
          <a:xfrm xmlns:a="http://schemas.openxmlformats.org/drawingml/2006/main">
            <a:off x="323850" y="352425"/>
            <a:ext cx="0" cy="2581275"/>
          </a:xfrm>
          <a:prstGeom xmlns:a="http://schemas.openxmlformats.org/drawingml/2006/main" prst="line">
            <a:avLst/>
          </a:prstGeom>
          <a:ln xmlns:a="http://schemas.openxmlformats.org/drawingml/2006/main" w="28575"/>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7" name="CuadroTexto 4">
            <a:extLst xmlns:a="http://schemas.openxmlformats.org/drawingml/2006/main">
              <a:ext uri="{FF2B5EF4-FFF2-40B4-BE49-F238E27FC236}">
                <a16:creationId xmlns:a16="http://schemas.microsoft.com/office/drawing/2014/main" id="{C74C5AAF-F67F-4F0B-A52E-1ED59396CFC2}"/>
              </a:ext>
            </a:extLst>
          </cdr:cNvPr>
          <cdr:cNvSpPr txBox="1"/>
        </cdr:nvSpPr>
        <cdr:spPr>
          <a:xfrm xmlns:a="http://schemas.openxmlformats.org/drawingml/2006/main">
            <a:off x="0" y="0"/>
            <a:ext cx="619125" cy="333375"/>
          </a:xfrm>
          <a:prstGeom xmlns:a="http://schemas.openxmlformats.org/drawingml/2006/main" prst="rect">
            <a:avLst/>
          </a:prstGeom>
          <a:solidFill xmlns:a="http://schemas.openxmlformats.org/drawingml/2006/main">
            <a:schemeClr val="lt1"/>
          </a:solidFill>
          <a:ln xmlns:a="http://schemas.openxmlformats.org/drawingml/2006/main" w="25400" cmpd="sng">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2000"/>
              <a:t>PE</a:t>
            </a:r>
          </a:p>
        </cdr:txBody>
      </cdr:sp>
    </cdr:grpSp>
  </cdr:relSizeAnchor>
  <cdr:relSizeAnchor xmlns:cdr="http://schemas.openxmlformats.org/drawingml/2006/chartDrawing">
    <cdr:from>
      <cdr:x>0.59902</cdr:x>
      <cdr:y>0.27016</cdr:y>
    </cdr:from>
    <cdr:to>
      <cdr:x>0.67271</cdr:x>
      <cdr:y>0.92352</cdr:y>
    </cdr:to>
    <cdr:grpSp>
      <cdr:nvGrpSpPr>
        <cdr:cNvPr id="3" name="Grupo 2">
          <a:extLst xmlns:a="http://schemas.openxmlformats.org/drawingml/2006/main">
            <a:ext uri="{FF2B5EF4-FFF2-40B4-BE49-F238E27FC236}">
              <a16:creationId xmlns:a16="http://schemas.microsoft.com/office/drawing/2014/main" id="{68B5D6C5-E4C6-402B-A57B-0EFED8049BDE}"/>
            </a:ext>
          </a:extLst>
        </cdr:cNvPr>
        <cdr:cNvGrpSpPr/>
      </cdr:nvGrpSpPr>
      <cdr:grpSpPr>
        <a:xfrm xmlns:a="http://schemas.openxmlformats.org/drawingml/2006/main">
          <a:off x="5032398" y="1031883"/>
          <a:ext cx="619073" cy="2495524"/>
          <a:chOff x="409575" y="438150"/>
          <a:chExt cx="619125" cy="2495550"/>
        </a:xfrm>
      </cdr:grpSpPr>
      <cdr:cxnSp macro="">
        <cdr:nvCxnSpPr>
          <cdr:cNvPr id="4" name="Conector recto 3">
            <a:extLst xmlns:a="http://schemas.openxmlformats.org/drawingml/2006/main">
              <a:ext uri="{FF2B5EF4-FFF2-40B4-BE49-F238E27FC236}">
                <a16:creationId xmlns:a16="http://schemas.microsoft.com/office/drawing/2014/main" id="{FC1454E1-48AF-4E14-BBC7-B88918F29079}"/>
              </a:ext>
            </a:extLst>
          </cdr:cNvPr>
          <cdr:cNvCxnSpPr/>
        </cdr:nvCxnSpPr>
        <cdr:spPr>
          <a:xfrm xmlns:a="http://schemas.openxmlformats.org/drawingml/2006/main">
            <a:off x="733425" y="771525"/>
            <a:ext cx="0" cy="2162175"/>
          </a:xfrm>
          <a:prstGeom xmlns:a="http://schemas.openxmlformats.org/drawingml/2006/main" prst="line">
            <a:avLst/>
          </a:prstGeom>
          <a:ln xmlns:a="http://schemas.openxmlformats.org/drawingml/2006/main" w="28575">
            <a:solidFill>
              <a:srgbClr val="FF0000"/>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5" name="CuadroTexto 24">
            <a:extLst xmlns:a="http://schemas.openxmlformats.org/drawingml/2006/main">
              <a:ext uri="{FF2B5EF4-FFF2-40B4-BE49-F238E27FC236}">
                <a16:creationId xmlns:a16="http://schemas.microsoft.com/office/drawing/2014/main" id="{1A550293-FA55-467D-AE7F-9286CBD32051}"/>
              </a:ext>
            </a:extLst>
          </cdr:cNvPr>
          <cdr:cNvSpPr txBox="1"/>
        </cdr:nvSpPr>
        <cdr:spPr>
          <a:xfrm xmlns:a="http://schemas.openxmlformats.org/drawingml/2006/main">
            <a:off x="409575" y="438150"/>
            <a:ext cx="619125" cy="333375"/>
          </a:xfrm>
          <a:prstGeom xmlns:a="http://schemas.openxmlformats.org/drawingml/2006/main" prst="rect">
            <a:avLst/>
          </a:prstGeom>
          <a:solidFill xmlns:a="http://schemas.openxmlformats.org/drawingml/2006/main">
            <a:schemeClr val="lt1"/>
          </a:solidFill>
          <a:ln xmlns:a="http://schemas.openxmlformats.org/drawingml/2006/main" w="25400" cmpd="sng">
            <a:solidFill>
              <a:srgbClr val="FF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1600">
                <a:solidFill>
                  <a:srgbClr val="FF0000"/>
                </a:solidFill>
              </a:rPr>
              <a:t>Prod</a:t>
            </a:r>
          </a:p>
        </cdr:txBody>
      </cdr:sp>
    </cdr:grpSp>
  </cdr:relSizeAnchor>
</c:userShapes>
</file>

<file path=xl/drawings/drawing15.xml><?xml version="1.0" encoding="utf-8"?>
<c:userShapes xmlns:c="http://schemas.openxmlformats.org/drawingml/2006/chart">
  <cdr:relSizeAnchor xmlns:cdr="http://schemas.openxmlformats.org/drawingml/2006/chartDrawing">
    <cdr:from>
      <cdr:x>0.45162</cdr:x>
      <cdr:y>0.15545</cdr:y>
    </cdr:from>
    <cdr:to>
      <cdr:x>0.52532</cdr:x>
      <cdr:y>0.92353</cdr:y>
    </cdr:to>
    <cdr:grpSp>
      <cdr:nvGrpSpPr>
        <cdr:cNvPr id="2" name="Grupo 1">
          <a:extLst xmlns:a="http://schemas.openxmlformats.org/drawingml/2006/main">
            <a:ext uri="{FF2B5EF4-FFF2-40B4-BE49-F238E27FC236}">
              <a16:creationId xmlns:a16="http://schemas.microsoft.com/office/drawing/2014/main" id="{C0941493-451B-4CA9-9CAF-4B435945D4A7}"/>
            </a:ext>
          </a:extLst>
        </cdr:cNvPr>
        <cdr:cNvGrpSpPr/>
      </cdr:nvGrpSpPr>
      <cdr:grpSpPr>
        <a:xfrm xmlns:a="http://schemas.openxmlformats.org/drawingml/2006/main">
          <a:off x="3794078" y="593740"/>
          <a:ext cx="619157" cy="2933700"/>
          <a:chOff x="0" y="0"/>
          <a:chExt cx="619125" cy="2933700"/>
        </a:xfrm>
      </cdr:grpSpPr>
      <cdr:cxnSp macro="">
        <cdr:nvCxnSpPr>
          <cdr:cNvPr id="6" name="Conector recto 5">
            <a:extLst xmlns:a="http://schemas.openxmlformats.org/drawingml/2006/main">
              <a:ext uri="{FF2B5EF4-FFF2-40B4-BE49-F238E27FC236}">
                <a16:creationId xmlns:a16="http://schemas.microsoft.com/office/drawing/2014/main" id="{D1C4D58D-5310-462A-B581-096790DA1ED1}"/>
              </a:ext>
            </a:extLst>
          </cdr:cNvPr>
          <cdr:cNvCxnSpPr/>
        </cdr:nvCxnSpPr>
        <cdr:spPr>
          <a:xfrm xmlns:a="http://schemas.openxmlformats.org/drawingml/2006/main">
            <a:off x="323850" y="352425"/>
            <a:ext cx="0" cy="2581275"/>
          </a:xfrm>
          <a:prstGeom xmlns:a="http://schemas.openxmlformats.org/drawingml/2006/main" prst="line">
            <a:avLst/>
          </a:prstGeom>
          <a:ln xmlns:a="http://schemas.openxmlformats.org/drawingml/2006/main" w="28575"/>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7" name="CuadroTexto 4">
            <a:extLst xmlns:a="http://schemas.openxmlformats.org/drawingml/2006/main">
              <a:ext uri="{FF2B5EF4-FFF2-40B4-BE49-F238E27FC236}">
                <a16:creationId xmlns:a16="http://schemas.microsoft.com/office/drawing/2014/main" id="{C74C5AAF-F67F-4F0B-A52E-1ED59396CFC2}"/>
              </a:ext>
            </a:extLst>
          </cdr:cNvPr>
          <cdr:cNvSpPr txBox="1"/>
        </cdr:nvSpPr>
        <cdr:spPr>
          <a:xfrm xmlns:a="http://schemas.openxmlformats.org/drawingml/2006/main">
            <a:off x="0" y="0"/>
            <a:ext cx="619125" cy="333375"/>
          </a:xfrm>
          <a:prstGeom xmlns:a="http://schemas.openxmlformats.org/drawingml/2006/main" prst="rect">
            <a:avLst/>
          </a:prstGeom>
          <a:solidFill xmlns:a="http://schemas.openxmlformats.org/drawingml/2006/main">
            <a:schemeClr val="lt1"/>
          </a:solidFill>
          <a:ln xmlns:a="http://schemas.openxmlformats.org/drawingml/2006/main" w="25400" cmpd="sng">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2000"/>
              <a:t>PE</a:t>
            </a:r>
          </a:p>
        </cdr:txBody>
      </cdr:sp>
    </cdr:grpSp>
  </cdr:relSizeAnchor>
  <cdr:relSizeAnchor xmlns:cdr="http://schemas.openxmlformats.org/drawingml/2006/chartDrawing">
    <cdr:from>
      <cdr:x>0.60355</cdr:x>
      <cdr:y>0.27016</cdr:y>
    </cdr:from>
    <cdr:to>
      <cdr:x>0.67725</cdr:x>
      <cdr:y>0.92352</cdr:y>
    </cdr:to>
    <cdr:grpSp>
      <cdr:nvGrpSpPr>
        <cdr:cNvPr id="3" name="Grupo 2">
          <a:extLst xmlns:a="http://schemas.openxmlformats.org/drawingml/2006/main">
            <a:ext uri="{FF2B5EF4-FFF2-40B4-BE49-F238E27FC236}">
              <a16:creationId xmlns:a16="http://schemas.microsoft.com/office/drawing/2014/main" id="{68B5D6C5-E4C6-402B-A57B-0EFED8049BDE}"/>
            </a:ext>
          </a:extLst>
        </cdr:cNvPr>
        <cdr:cNvGrpSpPr/>
      </cdr:nvGrpSpPr>
      <cdr:grpSpPr>
        <a:xfrm xmlns:a="http://schemas.openxmlformats.org/drawingml/2006/main">
          <a:off x="5070454" y="1031883"/>
          <a:ext cx="619158" cy="2495524"/>
          <a:chOff x="409575" y="438150"/>
          <a:chExt cx="619125" cy="2495550"/>
        </a:xfrm>
      </cdr:grpSpPr>
      <cdr:cxnSp macro="">
        <cdr:nvCxnSpPr>
          <cdr:cNvPr id="4" name="Conector recto 3">
            <a:extLst xmlns:a="http://schemas.openxmlformats.org/drawingml/2006/main">
              <a:ext uri="{FF2B5EF4-FFF2-40B4-BE49-F238E27FC236}">
                <a16:creationId xmlns:a16="http://schemas.microsoft.com/office/drawing/2014/main" id="{FC1454E1-48AF-4E14-BBC7-B88918F29079}"/>
              </a:ext>
            </a:extLst>
          </cdr:cNvPr>
          <cdr:cNvCxnSpPr/>
        </cdr:nvCxnSpPr>
        <cdr:spPr>
          <a:xfrm xmlns:a="http://schemas.openxmlformats.org/drawingml/2006/main">
            <a:off x="733425" y="771525"/>
            <a:ext cx="0" cy="2162175"/>
          </a:xfrm>
          <a:prstGeom xmlns:a="http://schemas.openxmlformats.org/drawingml/2006/main" prst="line">
            <a:avLst/>
          </a:prstGeom>
          <a:ln xmlns:a="http://schemas.openxmlformats.org/drawingml/2006/main" w="28575">
            <a:solidFill>
              <a:srgbClr val="FF0000"/>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5" name="CuadroTexto 24">
            <a:extLst xmlns:a="http://schemas.openxmlformats.org/drawingml/2006/main">
              <a:ext uri="{FF2B5EF4-FFF2-40B4-BE49-F238E27FC236}">
                <a16:creationId xmlns:a16="http://schemas.microsoft.com/office/drawing/2014/main" id="{1A550293-FA55-467D-AE7F-9286CBD32051}"/>
              </a:ext>
            </a:extLst>
          </cdr:cNvPr>
          <cdr:cNvSpPr txBox="1"/>
        </cdr:nvSpPr>
        <cdr:spPr>
          <a:xfrm xmlns:a="http://schemas.openxmlformats.org/drawingml/2006/main">
            <a:off x="409575" y="438150"/>
            <a:ext cx="619125" cy="333375"/>
          </a:xfrm>
          <a:prstGeom xmlns:a="http://schemas.openxmlformats.org/drawingml/2006/main" prst="rect">
            <a:avLst/>
          </a:prstGeom>
          <a:solidFill xmlns:a="http://schemas.openxmlformats.org/drawingml/2006/main">
            <a:schemeClr val="lt1"/>
          </a:solidFill>
          <a:ln xmlns:a="http://schemas.openxmlformats.org/drawingml/2006/main" w="25400" cmpd="sng">
            <a:solidFill>
              <a:srgbClr val="FF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1600">
                <a:solidFill>
                  <a:srgbClr val="FF0000"/>
                </a:solidFill>
              </a:rPr>
              <a:t>Prod</a:t>
            </a:r>
          </a:p>
        </cdr:txBody>
      </cdr:sp>
    </cdr:grpSp>
  </cdr:relSizeAnchor>
</c:userShapes>
</file>

<file path=xl/drawings/drawing16.xml><?xml version="1.0" encoding="utf-8"?>
<xdr:wsDr xmlns:xdr="http://schemas.openxmlformats.org/drawingml/2006/spreadsheetDrawing" xmlns:a="http://schemas.openxmlformats.org/drawingml/2006/main">
  <xdr:twoCellAnchor>
    <xdr:from>
      <xdr:col>12</xdr:col>
      <xdr:colOff>752475</xdr:colOff>
      <xdr:row>3</xdr:row>
      <xdr:rowOff>14286</xdr:rowOff>
    </xdr:from>
    <xdr:to>
      <xdr:col>22</xdr:col>
      <xdr:colOff>161925</xdr:colOff>
      <xdr:row>21</xdr:row>
      <xdr:rowOff>161925</xdr:rowOff>
    </xdr:to>
    <xdr:graphicFrame macro="">
      <xdr:nvGraphicFramePr>
        <xdr:cNvPr id="2" name="Gráfico 1">
          <a:extLst>
            <a:ext uri="{FF2B5EF4-FFF2-40B4-BE49-F238E27FC236}">
              <a16:creationId xmlns:a16="http://schemas.microsoft.com/office/drawing/2014/main" id="{936A953C-156D-4F6F-BAC7-99A22B37CF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28</xdr:row>
      <xdr:rowOff>4761</xdr:rowOff>
    </xdr:from>
    <xdr:to>
      <xdr:col>23</xdr:col>
      <xdr:colOff>171450</xdr:colOff>
      <xdr:row>46</xdr:row>
      <xdr:rowOff>152400</xdr:rowOff>
    </xdr:to>
    <xdr:graphicFrame macro="">
      <xdr:nvGraphicFramePr>
        <xdr:cNvPr id="3" name="Gráfico 2">
          <a:extLst>
            <a:ext uri="{FF2B5EF4-FFF2-40B4-BE49-F238E27FC236}">
              <a16:creationId xmlns:a16="http://schemas.microsoft.com/office/drawing/2014/main" id="{5AC41BF9-AAE9-4B5B-962F-58FC889FFE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41</xdr:row>
      <xdr:rowOff>0</xdr:rowOff>
    </xdr:from>
    <xdr:to>
      <xdr:col>8</xdr:col>
      <xdr:colOff>514350</xdr:colOff>
      <xdr:row>60</xdr:row>
      <xdr:rowOff>185738</xdr:rowOff>
    </xdr:to>
    <xdr:graphicFrame macro="">
      <xdr:nvGraphicFramePr>
        <xdr:cNvPr id="2" name="Gráfico 1">
          <a:extLst>
            <a:ext uri="{FF2B5EF4-FFF2-40B4-BE49-F238E27FC236}">
              <a16:creationId xmlns:a16="http://schemas.microsoft.com/office/drawing/2014/main" id="{6A5A90EE-F247-465A-ABE7-D785B3E9A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62</xdr:row>
      <xdr:rowOff>0</xdr:rowOff>
    </xdr:from>
    <xdr:to>
      <xdr:col>8</xdr:col>
      <xdr:colOff>495300</xdr:colOff>
      <xdr:row>82</xdr:row>
      <xdr:rowOff>42863</xdr:rowOff>
    </xdr:to>
    <xdr:graphicFrame macro="">
      <xdr:nvGraphicFramePr>
        <xdr:cNvPr id="3" name="Gráfico 2">
          <a:extLst>
            <a:ext uri="{FF2B5EF4-FFF2-40B4-BE49-F238E27FC236}">
              <a16:creationId xmlns:a16="http://schemas.microsoft.com/office/drawing/2014/main" id="{C265F073-3189-422B-9DBF-B90FF7BA59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666750</xdr:colOff>
      <xdr:row>41</xdr:row>
      <xdr:rowOff>0</xdr:rowOff>
    </xdr:from>
    <xdr:to>
      <xdr:col>16</xdr:col>
      <xdr:colOff>733425</xdr:colOff>
      <xdr:row>61</xdr:row>
      <xdr:rowOff>14289</xdr:rowOff>
    </xdr:to>
    <xdr:graphicFrame macro="">
      <xdr:nvGraphicFramePr>
        <xdr:cNvPr id="4" name="Gráfico 3">
          <a:extLst>
            <a:ext uri="{FF2B5EF4-FFF2-40B4-BE49-F238E27FC236}">
              <a16:creationId xmlns:a16="http://schemas.microsoft.com/office/drawing/2014/main" id="{F8732C40-5E03-4D13-AB11-CDA8B8F2A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666750</xdr:colOff>
      <xdr:row>62</xdr:row>
      <xdr:rowOff>0</xdr:rowOff>
    </xdr:from>
    <xdr:to>
      <xdr:col>16</xdr:col>
      <xdr:colOff>733425</xdr:colOff>
      <xdr:row>82</xdr:row>
      <xdr:rowOff>23813</xdr:rowOff>
    </xdr:to>
    <xdr:graphicFrame macro="">
      <xdr:nvGraphicFramePr>
        <xdr:cNvPr id="5" name="Gráfico 4">
          <a:extLst>
            <a:ext uri="{FF2B5EF4-FFF2-40B4-BE49-F238E27FC236}">
              <a16:creationId xmlns:a16="http://schemas.microsoft.com/office/drawing/2014/main" id="{A72B7E87-AE01-454D-8A5C-B49FD329E5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85</xdr:row>
      <xdr:rowOff>0</xdr:rowOff>
    </xdr:from>
    <xdr:to>
      <xdr:col>8</xdr:col>
      <xdr:colOff>514350</xdr:colOff>
      <xdr:row>104</xdr:row>
      <xdr:rowOff>185738</xdr:rowOff>
    </xdr:to>
    <xdr:graphicFrame macro="">
      <xdr:nvGraphicFramePr>
        <xdr:cNvPr id="6" name="Gráfico 5">
          <a:extLst>
            <a:ext uri="{FF2B5EF4-FFF2-40B4-BE49-F238E27FC236}">
              <a16:creationId xmlns:a16="http://schemas.microsoft.com/office/drawing/2014/main" id="{B3294A3A-8712-4BBB-ACC8-A6C671CD86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106</xdr:row>
      <xdr:rowOff>0</xdr:rowOff>
    </xdr:from>
    <xdr:to>
      <xdr:col>8</xdr:col>
      <xdr:colOff>495300</xdr:colOff>
      <xdr:row>126</xdr:row>
      <xdr:rowOff>42863</xdr:rowOff>
    </xdr:to>
    <xdr:graphicFrame macro="">
      <xdr:nvGraphicFramePr>
        <xdr:cNvPr id="7" name="Gráfico 6">
          <a:extLst>
            <a:ext uri="{FF2B5EF4-FFF2-40B4-BE49-F238E27FC236}">
              <a16:creationId xmlns:a16="http://schemas.microsoft.com/office/drawing/2014/main" id="{4BFBCA39-7EE3-4BEC-A56D-F285B0F0CA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676275</xdr:colOff>
      <xdr:row>85</xdr:row>
      <xdr:rowOff>0</xdr:rowOff>
    </xdr:from>
    <xdr:to>
      <xdr:col>16</xdr:col>
      <xdr:colOff>742950</xdr:colOff>
      <xdr:row>105</xdr:row>
      <xdr:rowOff>14289</xdr:rowOff>
    </xdr:to>
    <xdr:graphicFrame macro="">
      <xdr:nvGraphicFramePr>
        <xdr:cNvPr id="8" name="Gráfico 7">
          <a:extLst>
            <a:ext uri="{FF2B5EF4-FFF2-40B4-BE49-F238E27FC236}">
              <a16:creationId xmlns:a16="http://schemas.microsoft.com/office/drawing/2014/main" id="{3A95CDC2-58FA-49CE-BB4E-F908A4E247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676275</xdr:colOff>
      <xdr:row>105</xdr:row>
      <xdr:rowOff>180975</xdr:rowOff>
    </xdr:from>
    <xdr:to>
      <xdr:col>16</xdr:col>
      <xdr:colOff>742950</xdr:colOff>
      <xdr:row>126</xdr:row>
      <xdr:rowOff>14288</xdr:rowOff>
    </xdr:to>
    <xdr:graphicFrame macro="">
      <xdr:nvGraphicFramePr>
        <xdr:cNvPr id="9" name="Gráfico 8">
          <a:extLst>
            <a:ext uri="{FF2B5EF4-FFF2-40B4-BE49-F238E27FC236}">
              <a16:creationId xmlns:a16="http://schemas.microsoft.com/office/drawing/2014/main" id="{FD6F7EFB-A09B-4EC8-BBC3-525CF403B1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314325</xdr:colOff>
      <xdr:row>128</xdr:row>
      <xdr:rowOff>200024</xdr:rowOff>
    </xdr:from>
    <xdr:to>
      <xdr:col>16</xdr:col>
      <xdr:colOff>742950</xdr:colOff>
      <xdr:row>146</xdr:row>
      <xdr:rowOff>85725</xdr:rowOff>
    </xdr:to>
    <xdr:graphicFrame macro="">
      <xdr:nvGraphicFramePr>
        <xdr:cNvPr id="11" name="Gráfico 10">
          <a:extLst>
            <a:ext uri="{FF2B5EF4-FFF2-40B4-BE49-F238E27FC236}">
              <a16:creationId xmlns:a16="http://schemas.microsoft.com/office/drawing/2014/main" id="{97D54ECB-BA1C-4ACF-B8B2-DA14CC7003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190500</xdr:colOff>
      <xdr:row>166</xdr:row>
      <xdr:rowOff>0</xdr:rowOff>
    </xdr:from>
    <xdr:to>
      <xdr:col>16</xdr:col>
      <xdr:colOff>609600</xdr:colOff>
      <xdr:row>183</xdr:row>
      <xdr:rowOff>19050</xdr:rowOff>
    </xdr:to>
    <xdr:graphicFrame macro="">
      <xdr:nvGraphicFramePr>
        <xdr:cNvPr id="12" name="Gráfico 11">
          <a:extLst>
            <a:ext uri="{FF2B5EF4-FFF2-40B4-BE49-F238E27FC236}">
              <a16:creationId xmlns:a16="http://schemas.microsoft.com/office/drawing/2014/main" id="{976C40D4-AA55-4C1D-905F-B60F19938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236</xdr:row>
      <xdr:rowOff>0</xdr:rowOff>
    </xdr:from>
    <xdr:to>
      <xdr:col>8</xdr:col>
      <xdr:colOff>1371601</xdr:colOff>
      <xdr:row>256</xdr:row>
      <xdr:rowOff>9524</xdr:rowOff>
    </xdr:to>
    <xdr:graphicFrame macro="">
      <xdr:nvGraphicFramePr>
        <xdr:cNvPr id="13" name="Gráfico 12">
          <a:extLst>
            <a:ext uri="{FF2B5EF4-FFF2-40B4-BE49-F238E27FC236}">
              <a16:creationId xmlns:a16="http://schemas.microsoft.com/office/drawing/2014/main" id="{95384D96-0BFB-4E66-9870-9C8A48737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261</xdr:row>
      <xdr:rowOff>0</xdr:rowOff>
    </xdr:from>
    <xdr:to>
      <xdr:col>8</xdr:col>
      <xdr:colOff>1371601</xdr:colOff>
      <xdr:row>281</xdr:row>
      <xdr:rowOff>9524</xdr:rowOff>
    </xdr:to>
    <xdr:graphicFrame macro="">
      <xdr:nvGraphicFramePr>
        <xdr:cNvPr id="16" name="Gráfico 15">
          <a:extLst>
            <a:ext uri="{FF2B5EF4-FFF2-40B4-BE49-F238E27FC236}">
              <a16:creationId xmlns:a16="http://schemas.microsoft.com/office/drawing/2014/main" id="{9DF62514-58D2-4507-B15A-BF1C3B20A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286</xdr:row>
      <xdr:rowOff>0</xdr:rowOff>
    </xdr:from>
    <xdr:to>
      <xdr:col>8</xdr:col>
      <xdr:colOff>1371601</xdr:colOff>
      <xdr:row>306</xdr:row>
      <xdr:rowOff>9524</xdr:rowOff>
    </xdr:to>
    <xdr:graphicFrame macro="">
      <xdr:nvGraphicFramePr>
        <xdr:cNvPr id="19" name="Gráfico 18">
          <a:extLst>
            <a:ext uri="{FF2B5EF4-FFF2-40B4-BE49-F238E27FC236}">
              <a16:creationId xmlns:a16="http://schemas.microsoft.com/office/drawing/2014/main" id="{63566505-2D3F-44BA-9053-1CE9C6259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313</xdr:row>
      <xdr:rowOff>0</xdr:rowOff>
    </xdr:from>
    <xdr:to>
      <xdr:col>8</xdr:col>
      <xdr:colOff>1371601</xdr:colOff>
      <xdr:row>333</xdr:row>
      <xdr:rowOff>9524</xdr:rowOff>
    </xdr:to>
    <xdr:graphicFrame macro="">
      <xdr:nvGraphicFramePr>
        <xdr:cNvPr id="31" name="Gráfico 30">
          <a:extLst>
            <a:ext uri="{FF2B5EF4-FFF2-40B4-BE49-F238E27FC236}">
              <a16:creationId xmlns:a16="http://schemas.microsoft.com/office/drawing/2014/main" id="{BC277D23-4EEE-4CA6-A9CB-423430E596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338</xdr:row>
      <xdr:rowOff>0</xdr:rowOff>
    </xdr:from>
    <xdr:to>
      <xdr:col>8</xdr:col>
      <xdr:colOff>1371601</xdr:colOff>
      <xdr:row>358</xdr:row>
      <xdr:rowOff>9524</xdr:rowOff>
    </xdr:to>
    <xdr:graphicFrame macro="">
      <xdr:nvGraphicFramePr>
        <xdr:cNvPr id="34" name="Gráfico 33">
          <a:extLst>
            <a:ext uri="{FF2B5EF4-FFF2-40B4-BE49-F238E27FC236}">
              <a16:creationId xmlns:a16="http://schemas.microsoft.com/office/drawing/2014/main" id="{3E2A1205-B945-4486-A66A-E22F6142ED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363</xdr:row>
      <xdr:rowOff>0</xdr:rowOff>
    </xdr:from>
    <xdr:to>
      <xdr:col>8</xdr:col>
      <xdr:colOff>1371601</xdr:colOff>
      <xdr:row>383</xdr:row>
      <xdr:rowOff>9524</xdr:rowOff>
    </xdr:to>
    <xdr:graphicFrame macro="">
      <xdr:nvGraphicFramePr>
        <xdr:cNvPr id="37" name="Gráfico 36">
          <a:extLst>
            <a:ext uri="{FF2B5EF4-FFF2-40B4-BE49-F238E27FC236}">
              <a16:creationId xmlns:a16="http://schemas.microsoft.com/office/drawing/2014/main" id="{D01FC015-D9CB-4CD2-B770-FC215C8482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455</xdr:row>
      <xdr:rowOff>0</xdr:rowOff>
    </xdr:from>
    <xdr:to>
      <xdr:col>14</xdr:col>
      <xdr:colOff>304801</xdr:colOff>
      <xdr:row>484</xdr:row>
      <xdr:rowOff>176213</xdr:rowOff>
    </xdr:to>
    <xdr:graphicFrame macro="">
      <xdr:nvGraphicFramePr>
        <xdr:cNvPr id="40" name="Gráfico 39">
          <a:extLst>
            <a:ext uri="{FF2B5EF4-FFF2-40B4-BE49-F238E27FC236}">
              <a16:creationId xmlns:a16="http://schemas.microsoft.com/office/drawing/2014/main" id="{B2CF5587-7673-40DB-A33F-335C7770C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0</xdr:colOff>
      <xdr:row>488</xdr:row>
      <xdr:rowOff>0</xdr:rowOff>
    </xdr:from>
    <xdr:to>
      <xdr:col>14</xdr:col>
      <xdr:colOff>304801</xdr:colOff>
      <xdr:row>517</xdr:row>
      <xdr:rowOff>176213</xdr:rowOff>
    </xdr:to>
    <xdr:graphicFrame macro="">
      <xdr:nvGraphicFramePr>
        <xdr:cNvPr id="41" name="Gráfico 40">
          <a:extLst>
            <a:ext uri="{FF2B5EF4-FFF2-40B4-BE49-F238E27FC236}">
              <a16:creationId xmlns:a16="http://schemas.microsoft.com/office/drawing/2014/main" id="{8F96472D-D292-4B8E-823C-397C0DD1FD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304800</xdr:colOff>
      <xdr:row>398</xdr:row>
      <xdr:rowOff>142875</xdr:rowOff>
    </xdr:from>
    <xdr:to>
      <xdr:col>7</xdr:col>
      <xdr:colOff>457200</xdr:colOff>
      <xdr:row>416</xdr:row>
      <xdr:rowOff>19050</xdr:rowOff>
    </xdr:to>
    <xdr:graphicFrame macro="">
      <xdr:nvGraphicFramePr>
        <xdr:cNvPr id="42" name="Gráfico 41">
          <a:extLst>
            <a:ext uri="{FF2B5EF4-FFF2-40B4-BE49-F238E27FC236}">
              <a16:creationId xmlns:a16="http://schemas.microsoft.com/office/drawing/2014/main" id="{1B6F3FD0-F610-4A60-9354-4AF1B38AFE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123824</xdr:colOff>
      <xdr:row>434</xdr:row>
      <xdr:rowOff>142875</xdr:rowOff>
    </xdr:from>
    <xdr:to>
      <xdr:col>7</xdr:col>
      <xdr:colOff>552449</xdr:colOff>
      <xdr:row>452</xdr:row>
      <xdr:rowOff>19050</xdr:rowOff>
    </xdr:to>
    <xdr:graphicFrame macro="">
      <xdr:nvGraphicFramePr>
        <xdr:cNvPr id="43" name="Gráfico 42">
          <a:extLst>
            <a:ext uri="{FF2B5EF4-FFF2-40B4-BE49-F238E27FC236}">
              <a16:creationId xmlns:a16="http://schemas.microsoft.com/office/drawing/2014/main" id="{30E0293F-9771-45DA-977A-D8DEB1681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0.40967</cdr:x>
      <cdr:y>0.15545</cdr:y>
    </cdr:from>
    <cdr:to>
      <cdr:x>0.48337</cdr:x>
      <cdr:y>0.92353</cdr:y>
    </cdr:to>
    <cdr:grpSp>
      <cdr:nvGrpSpPr>
        <cdr:cNvPr id="2" name="Grupo 1">
          <a:extLst xmlns:a="http://schemas.openxmlformats.org/drawingml/2006/main">
            <a:ext uri="{FF2B5EF4-FFF2-40B4-BE49-F238E27FC236}">
              <a16:creationId xmlns:a16="http://schemas.microsoft.com/office/drawing/2014/main" id="{44C1430C-5791-4173-9CFE-91834DCBA940}"/>
            </a:ext>
          </a:extLst>
        </cdr:cNvPr>
        <cdr:cNvGrpSpPr/>
      </cdr:nvGrpSpPr>
      <cdr:grpSpPr>
        <a:xfrm xmlns:a="http://schemas.openxmlformats.org/drawingml/2006/main">
          <a:off x="3441678" y="593731"/>
          <a:ext cx="619158" cy="2933700"/>
          <a:chOff x="0" y="0"/>
          <a:chExt cx="619125" cy="2933700"/>
        </a:xfrm>
      </cdr:grpSpPr>
      <cdr:cxnSp macro="">
        <cdr:nvCxnSpPr>
          <cdr:cNvPr id="6" name="Conector recto 5">
            <a:extLst xmlns:a="http://schemas.openxmlformats.org/drawingml/2006/main">
              <a:ext uri="{FF2B5EF4-FFF2-40B4-BE49-F238E27FC236}">
                <a16:creationId xmlns:a16="http://schemas.microsoft.com/office/drawing/2014/main" id="{13CCED73-C23F-405F-B921-D6A8C25B345F}"/>
              </a:ext>
            </a:extLst>
          </cdr:cNvPr>
          <cdr:cNvCxnSpPr/>
        </cdr:nvCxnSpPr>
        <cdr:spPr>
          <a:xfrm xmlns:a="http://schemas.openxmlformats.org/drawingml/2006/main">
            <a:off x="323850" y="352425"/>
            <a:ext cx="0" cy="2581275"/>
          </a:xfrm>
          <a:prstGeom xmlns:a="http://schemas.openxmlformats.org/drawingml/2006/main" prst="line">
            <a:avLst/>
          </a:prstGeom>
          <a:ln xmlns:a="http://schemas.openxmlformats.org/drawingml/2006/main" w="28575"/>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7" name="CuadroTexto 4">
            <a:extLst xmlns:a="http://schemas.openxmlformats.org/drawingml/2006/main">
              <a:ext uri="{FF2B5EF4-FFF2-40B4-BE49-F238E27FC236}">
                <a16:creationId xmlns:a16="http://schemas.microsoft.com/office/drawing/2014/main" id="{7F87FABE-F8B2-4C1F-824C-6624EF72ACE1}"/>
              </a:ext>
            </a:extLst>
          </cdr:cNvPr>
          <cdr:cNvSpPr txBox="1"/>
        </cdr:nvSpPr>
        <cdr:spPr>
          <a:xfrm xmlns:a="http://schemas.openxmlformats.org/drawingml/2006/main">
            <a:off x="0" y="0"/>
            <a:ext cx="619125" cy="333375"/>
          </a:xfrm>
          <a:prstGeom xmlns:a="http://schemas.openxmlformats.org/drawingml/2006/main" prst="rect">
            <a:avLst/>
          </a:prstGeom>
          <a:solidFill xmlns:a="http://schemas.openxmlformats.org/drawingml/2006/main">
            <a:schemeClr val="lt1"/>
          </a:solidFill>
          <a:ln xmlns:a="http://schemas.openxmlformats.org/drawingml/2006/main" w="25400" cmpd="sng">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2000"/>
              <a:t>PE</a:t>
            </a:r>
          </a:p>
        </cdr:txBody>
      </cdr:sp>
    </cdr:grpSp>
  </cdr:relSizeAnchor>
  <cdr:relSizeAnchor xmlns:cdr="http://schemas.openxmlformats.org/drawingml/2006/chartDrawing">
    <cdr:from>
      <cdr:x>0.4074</cdr:x>
      <cdr:y>0.27265</cdr:y>
    </cdr:from>
    <cdr:to>
      <cdr:x>0.4811</cdr:x>
      <cdr:y>0.92353</cdr:y>
    </cdr:to>
    <cdr:grpSp>
      <cdr:nvGrpSpPr>
        <cdr:cNvPr id="3" name="Grupo 2">
          <a:extLst xmlns:a="http://schemas.openxmlformats.org/drawingml/2006/main">
            <a:ext uri="{FF2B5EF4-FFF2-40B4-BE49-F238E27FC236}">
              <a16:creationId xmlns:a16="http://schemas.microsoft.com/office/drawing/2014/main" id="{0ACC2B72-2631-44D6-9911-36526EB38E9E}"/>
            </a:ext>
          </a:extLst>
        </cdr:cNvPr>
        <cdr:cNvGrpSpPr/>
      </cdr:nvGrpSpPr>
      <cdr:grpSpPr>
        <a:xfrm xmlns:a="http://schemas.openxmlformats.org/drawingml/2006/main">
          <a:off x="3422588" y="1041393"/>
          <a:ext cx="619158" cy="2486052"/>
          <a:chOff x="438123" y="428628"/>
          <a:chExt cx="619125" cy="2486052"/>
        </a:xfrm>
      </cdr:grpSpPr>
      <cdr:cxnSp macro="">
        <cdr:nvCxnSpPr>
          <cdr:cNvPr id="4" name="Conector recto 3">
            <a:extLst xmlns:a="http://schemas.openxmlformats.org/drawingml/2006/main">
              <a:ext uri="{FF2B5EF4-FFF2-40B4-BE49-F238E27FC236}">
                <a16:creationId xmlns:a16="http://schemas.microsoft.com/office/drawing/2014/main" id="{98E16921-02FA-4F94-8E98-8FE35C8009CA}"/>
              </a:ext>
            </a:extLst>
          </cdr:cNvPr>
          <cdr:cNvCxnSpPr/>
        </cdr:nvCxnSpPr>
        <cdr:spPr>
          <a:xfrm xmlns:a="http://schemas.openxmlformats.org/drawingml/2006/main">
            <a:off x="723873" y="752482"/>
            <a:ext cx="0" cy="2162198"/>
          </a:xfrm>
          <a:prstGeom xmlns:a="http://schemas.openxmlformats.org/drawingml/2006/main" prst="line">
            <a:avLst/>
          </a:prstGeom>
          <a:ln xmlns:a="http://schemas.openxmlformats.org/drawingml/2006/main" w="28575">
            <a:solidFill>
              <a:srgbClr val="FF0000"/>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5" name="CuadroTexto 24">
            <a:extLst xmlns:a="http://schemas.openxmlformats.org/drawingml/2006/main">
              <a:ext uri="{FF2B5EF4-FFF2-40B4-BE49-F238E27FC236}">
                <a16:creationId xmlns:a16="http://schemas.microsoft.com/office/drawing/2014/main" id="{355705FD-B0EE-4C39-97F8-02A842CAE289}"/>
              </a:ext>
            </a:extLst>
          </cdr:cNvPr>
          <cdr:cNvSpPr txBox="1"/>
        </cdr:nvSpPr>
        <cdr:spPr>
          <a:xfrm xmlns:a="http://schemas.openxmlformats.org/drawingml/2006/main">
            <a:off x="438123" y="428628"/>
            <a:ext cx="619125" cy="333379"/>
          </a:xfrm>
          <a:prstGeom xmlns:a="http://schemas.openxmlformats.org/drawingml/2006/main" prst="rect">
            <a:avLst/>
          </a:prstGeom>
          <a:solidFill xmlns:a="http://schemas.openxmlformats.org/drawingml/2006/main">
            <a:schemeClr val="lt1"/>
          </a:solidFill>
          <a:ln xmlns:a="http://schemas.openxmlformats.org/drawingml/2006/main" w="25400" cmpd="sng">
            <a:solidFill>
              <a:srgbClr val="FF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1600">
                <a:solidFill>
                  <a:srgbClr val="FF0000"/>
                </a:solidFill>
              </a:rPr>
              <a:t>Prod</a:t>
            </a:r>
          </a:p>
        </cdr:txBody>
      </cdr:sp>
    </cdr:grpSp>
  </cdr:relSizeAnchor>
</c:userShapes>
</file>

<file path=xl/drawings/drawing19.xml><?xml version="1.0" encoding="utf-8"?>
<c:userShapes xmlns:c="http://schemas.openxmlformats.org/drawingml/2006/chart">
  <cdr:relSizeAnchor xmlns:cdr="http://schemas.openxmlformats.org/drawingml/2006/chartDrawing">
    <cdr:from>
      <cdr:x>0.42442</cdr:x>
      <cdr:y>0.15544</cdr:y>
    </cdr:from>
    <cdr:to>
      <cdr:x>0.49811</cdr:x>
      <cdr:y>0.92352</cdr:y>
    </cdr:to>
    <cdr:grpSp>
      <cdr:nvGrpSpPr>
        <cdr:cNvPr id="2" name="Grupo 1">
          <a:extLst xmlns:a="http://schemas.openxmlformats.org/drawingml/2006/main">
            <a:ext uri="{FF2B5EF4-FFF2-40B4-BE49-F238E27FC236}">
              <a16:creationId xmlns:a16="http://schemas.microsoft.com/office/drawing/2014/main" id="{44C1430C-5791-4173-9CFE-91834DCBA940}"/>
            </a:ext>
          </a:extLst>
        </cdr:cNvPr>
        <cdr:cNvGrpSpPr/>
      </cdr:nvGrpSpPr>
      <cdr:grpSpPr>
        <a:xfrm xmlns:a="http://schemas.openxmlformats.org/drawingml/2006/main">
          <a:off x="3565553" y="593716"/>
          <a:ext cx="619073" cy="2933700"/>
          <a:chOff x="0" y="0"/>
          <a:chExt cx="619125" cy="2933700"/>
        </a:xfrm>
      </cdr:grpSpPr>
      <cdr:cxnSp macro="">
        <cdr:nvCxnSpPr>
          <cdr:cNvPr id="6" name="Conector recto 5">
            <a:extLst xmlns:a="http://schemas.openxmlformats.org/drawingml/2006/main">
              <a:ext uri="{FF2B5EF4-FFF2-40B4-BE49-F238E27FC236}">
                <a16:creationId xmlns:a16="http://schemas.microsoft.com/office/drawing/2014/main" id="{13CCED73-C23F-405F-B921-D6A8C25B345F}"/>
              </a:ext>
            </a:extLst>
          </cdr:cNvPr>
          <cdr:cNvCxnSpPr/>
        </cdr:nvCxnSpPr>
        <cdr:spPr>
          <a:xfrm xmlns:a="http://schemas.openxmlformats.org/drawingml/2006/main">
            <a:off x="323850" y="352425"/>
            <a:ext cx="0" cy="2581275"/>
          </a:xfrm>
          <a:prstGeom xmlns:a="http://schemas.openxmlformats.org/drawingml/2006/main" prst="line">
            <a:avLst/>
          </a:prstGeom>
          <a:ln xmlns:a="http://schemas.openxmlformats.org/drawingml/2006/main" w="28575"/>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7" name="CuadroTexto 4">
            <a:extLst xmlns:a="http://schemas.openxmlformats.org/drawingml/2006/main">
              <a:ext uri="{FF2B5EF4-FFF2-40B4-BE49-F238E27FC236}">
                <a16:creationId xmlns:a16="http://schemas.microsoft.com/office/drawing/2014/main" id="{7F87FABE-F8B2-4C1F-824C-6624EF72ACE1}"/>
              </a:ext>
            </a:extLst>
          </cdr:cNvPr>
          <cdr:cNvSpPr txBox="1"/>
        </cdr:nvSpPr>
        <cdr:spPr>
          <a:xfrm xmlns:a="http://schemas.openxmlformats.org/drawingml/2006/main">
            <a:off x="0" y="0"/>
            <a:ext cx="619125" cy="333375"/>
          </a:xfrm>
          <a:prstGeom xmlns:a="http://schemas.openxmlformats.org/drawingml/2006/main" prst="rect">
            <a:avLst/>
          </a:prstGeom>
          <a:solidFill xmlns:a="http://schemas.openxmlformats.org/drawingml/2006/main">
            <a:schemeClr val="lt1"/>
          </a:solidFill>
          <a:ln xmlns:a="http://schemas.openxmlformats.org/drawingml/2006/main" w="25400" cmpd="sng">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2000"/>
              <a:t>PE</a:t>
            </a:r>
          </a:p>
        </cdr:txBody>
      </cdr:sp>
    </cdr:grpSp>
  </cdr:relSizeAnchor>
  <cdr:relSizeAnchor xmlns:cdr="http://schemas.openxmlformats.org/drawingml/2006/chartDrawing">
    <cdr:from>
      <cdr:x>0.53666</cdr:x>
      <cdr:y>0.27265</cdr:y>
    </cdr:from>
    <cdr:to>
      <cdr:x>0.61035</cdr:x>
      <cdr:y>0.92602</cdr:y>
    </cdr:to>
    <cdr:grpSp>
      <cdr:nvGrpSpPr>
        <cdr:cNvPr id="3" name="Grupo 2">
          <a:extLst xmlns:a="http://schemas.openxmlformats.org/drawingml/2006/main">
            <a:ext uri="{FF2B5EF4-FFF2-40B4-BE49-F238E27FC236}">
              <a16:creationId xmlns:a16="http://schemas.microsoft.com/office/drawing/2014/main" id="{0ACC2B72-2631-44D6-9911-36526EB38E9E}"/>
            </a:ext>
          </a:extLst>
        </cdr:cNvPr>
        <cdr:cNvGrpSpPr/>
      </cdr:nvGrpSpPr>
      <cdr:grpSpPr>
        <a:xfrm xmlns:a="http://schemas.openxmlformats.org/drawingml/2006/main">
          <a:off x="4508508" y="1041393"/>
          <a:ext cx="619073" cy="2495563"/>
          <a:chOff x="438123" y="428628"/>
          <a:chExt cx="619125" cy="2495577"/>
        </a:xfrm>
      </cdr:grpSpPr>
      <cdr:cxnSp macro="">
        <cdr:nvCxnSpPr>
          <cdr:cNvPr id="4" name="Conector recto 3">
            <a:extLst xmlns:a="http://schemas.openxmlformats.org/drawingml/2006/main">
              <a:ext uri="{FF2B5EF4-FFF2-40B4-BE49-F238E27FC236}">
                <a16:creationId xmlns:a16="http://schemas.microsoft.com/office/drawing/2014/main" id="{98E16921-02FA-4F94-8E98-8FE35C8009CA}"/>
              </a:ext>
            </a:extLst>
          </cdr:cNvPr>
          <cdr:cNvCxnSpPr/>
        </cdr:nvCxnSpPr>
        <cdr:spPr>
          <a:xfrm xmlns:a="http://schemas.openxmlformats.org/drawingml/2006/main">
            <a:off x="761973" y="762007"/>
            <a:ext cx="0" cy="2162198"/>
          </a:xfrm>
          <a:prstGeom xmlns:a="http://schemas.openxmlformats.org/drawingml/2006/main" prst="line">
            <a:avLst/>
          </a:prstGeom>
          <a:ln xmlns:a="http://schemas.openxmlformats.org/drawingml/2006/main" w="28575">
            <a:solidFill>
              <a:srgbClr val="FF0000"/>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5" name="CuadroTexto 24">
            <a:extLst xmlns:a="http://schemas.openxmlformats.org/drawingml/2006/main">
              <a:ext uri="{FF2B5EF4-FFF2-40B4-BE49-F238E27FC236}">
                <a16:creationId xmlns:a16="http://schemas.microsoft.com/office/drawing/2014/main" id="{355705FD-B0EE-4C39-97F8-02A842CAE289}"/>
              </a:ext>
            </a:extLst>
          </cdr:cNvPr>
          <cdr:cNvSpPr txBox="1"/>
        </cdr:nvSpPr>
        <cdr:spPr>
          <a:xfrm xmlns:a="http://schemas.openxmlformats.org/drawingml/2006/main">
            <a:off x="438123" y="428628"/>
            <a:ext cx="619125" cy="333379"/>
          </a:xfrm>
          <a:prstGeom xmlns:a="http://schemas.openxmlformats.org/drawingml/2006/main" prst="rect">
            <a:avLst/>
          </a:prstGeom>
          <a:solidFill xmlns:a="http://schemas.openxmlformats.org/drawingml/2006/main">
            <a:schemeClr val="lt1"/>
          </a:solidFill>
          <a:ln xmlns:a="http://schemas.openxmlformats.org/drawingml/2006/main" w="25400" cmpd="sng">
            <a:solidFill>
              <a:srgbClr val="FF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1600">
                <a:solidFill>
                  <a:srgbClr val="FF0000"/>
                </a:solidFill>
              </a:rPr>
              <a:t>Prod</a:t>
            </a:r>
          </a:p>
        </cdr:txBody>
      </cdr:sp>
    </cdr:grpSp>
  </cdr:relSizeAnchor>
</c:userShapes>
</file>

<file path=xl/drawings/drawing2.xml><?xml version="1.0" encoding="utf-8"?>
<xdr:wsDr xmlns:xdr="http://schemas.openxmlformats.org/drawingml/2006/spreadsheetDrawing" xmlns:a="http://schemas.openxmlformats.org/drawingml/2006/main">
  <xdr:twoCellAnchor>
    <xdr:from>
      <xdr:col>6</xdr:col>
      <xdr:colOff>390525</xdr:colOff>
      <xdr:row>19</xdr:row>
      <xdr:rowOff>57150</xdr:rowOff>
    </xdr:from>
    <xdr:to>
      <xdr:col>16</xdr:col>
      <xdr:colOff>295275</xdr:colOff>
      <xdr:row>30</xdr:row>
      <xdr:rowOff>95250</xdr:rowOff>
    </xdr:to>
    <xdr:grpSp>
      <xdr:nvGrpSpPr>
        <xdr:cNvPr id="8" name="Grupo 7">
          <a:extLst>
            <a:ext uri="{FF2B5EF4-FFF2-40B4-BE49-F238E27FC236}">
              <a16:creationId xmlns:a16="http://schemas.microsoft.com/office/drawing/2014/main" id="{89E4785F-FC0F-4409-B1D7-FCEC6A4A30B4}"/>
            </a:ext>
          </a:extLst>
        </xdr:cNvPr>
        <xdr:cNvGrpSpPr/>
      </xdr:nvGrpSpPr>
      <xdr:grpSpPr>
        <a:xfrm>
          <a:off x="7391400" y="3686175"/>
          <a:ext cx="7524750" cy="2133600"/>
          <a:chOff x="6159856" y="1390650"/>
          <a:chExt cx="7794269" cy="2130211"/>
        </a:xfrm>
      </xdr:grpSpPr>
      <xdr:pic>
        <xdr:nvPicPr>
          <xdr:cNvPr id="6" name="Imagen 5">
            <a:extLst>
              <a:ext uri="{FF2B5EF4-FFF2-40B4-BE49-F238E27FC236}">
                <a16:creationId xmlns:a16="http://schemas.microsoft.com/office/drawing/2014/main" id="{330AA6FA-F479-4635-A4C7-8C84FC7BCD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2912"/>
          <a:stretch/>
        </xdr:blipFill>
        <xdr:spPr>
          <a:xfrm>
            <a:off x="6159856" y="1390650"/>
            <a:ext cx="4593869" cy="2130211"/>
          </a:xfrm>
          <a:prstGeom prst="rect">
            <a:avLst/>
          </a:prstGeom>
        </xdr:spPr>
      </xdr:pic>
      <xdr:pic>
        <xdr:nvPicPr>
          <xdr:cNvPr id="7" name="Imagen 6">
            <a:extLst>
              <a:ext uri="{FF2B5EF4-FFF2-40B4-BE49-F238E27FC236}">
                <a16:creationId xmlns:a16="http://schemas.microsoft.com/office/drawing/2014/main" id="{F1B74D0E-4556-48B6-ACE9-6BD5FA8A9DE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1216"/>
          <a:stretch/>
        </xdr:blipFill>
        <xdr:spPr>
          <a:xfrm>
            <a:off x="10448925" y="1402865"/>
            <a:ext cx="3505200" cy="606910"/>
          </a:xfrm>
          <a:prstGeom prst="rect">
            <a:avLst/>
          </a:prstGeom>
        </xdr:spPr>
      </xdr:pic>
    </xdr:grpSp>
    <xdr:clientData/>
  </xdr:twoCellAnchor>
  <xdr:twoCellAnchor editAs="oneCell">
    <xdr:from>
      <xdr:col>11</xdr:col>
      <xdr:colOff>19050</xdr:colOff>
      <xdr:row>40</xdr:row>
      <xdr:rowOff>38099</xdr:rowOff>
    </xdr:from>
    <xdr:to>
      <xdr:col>22</xdr:col>
      <xdr:colOff>272605</xdr:colOff>
      <xdr:row>56</xdr:row>
      <xdr:rowOff>9524</xdr:rowOff>
    </xdr:to>
    <xdr:pic>
      <xdr:nvPicPr>
        <xdr:cNvPr id="9" name="Imagen 8">
          <a:extLst>
            <a:ext uri="{FF2B5EF4-FFF2-40B4-BE49-F238E27FC236}">
              <a16:creationId xmlns:a16="http://schemas.microsoft.com/office/drawing/2014/main" id="{711FBAA0-AF4B-4792-8A36-05079662C905}"/>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val="0"/>
            </a:ext>
          </a:extLst>
        </a:blip>
        <a:srcRect/>
        <a:stretch/>
      </xdr:blipFill>
      <xdr:spPr>
        <a:xfrm>
          <a:off x="10829925" y="7677149"/>
          <a:ext cx="8635555" cy="3019425"/>
        </a:xfrm>
        <a:prstGeom prst="rect">
          <a:avLst/>
        </a:prstGeom>
      </xdr:spPr>
    </xdr:pic>
    <xdr:clientData/>
  </xdr:twoCellAnchor>
  <xdr:twoCellAnchor editAs="oneCell">
    <xdr:from>
      <xdr:col>15</xdr:col>
      <xdr:colOff>571500</xdr:colOff>
      <xdr:row>70</xdr:row>
      <xdr:rowOff>26236</xdr:rowOff>
    </xdr:from>
    <xdr:to>
      <xdr:col>23</xdr:col>
      <xdr:colOff>721875</xdr:colOff>
      <xdr:row>77</xdr:row>
      <xdr:rowOff>133350</xdr:rowOff>
    </xdr:to>
    <xdr:pic>
      <xdr:nvPicPr>
        <xdr:cNvPr id="10" name="Imagen 9">
          <a:extLst>
            <a:ext uri="{FF2B5EF4-FFF2-40B4-BE49-F238E27FC236}">
              <a16:creationId xmlns:a16="http://schemas.microsoft.com/office/drawing/2014/main" id="{84F865BA-5BEA-49C9-AC20-39B4C9DAAAC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32844"/>
        <a:stretch/>
      </xdr:blipFill>
      <xdr:spPr>
        <a:xfrm>
          <a:off x="14430375" y="13399336"/>
          <a:ext cx="6246375" cy="1440614"/>
        </a:xfrm>
        <a:prstGeom prst="rect">
          <a:avLst/>
        </a:prstGeom>
      </xdr:spPr>
    </xdr:pic>
    <xdr:clientData/>
  </xdr:twoCellAnchor>
  <xdr:twoCellAnchor editAs="oneCell">
    <xdr:from>
      <xdr:col>6</xdr:col>
      <xdr:colOff>200024</xdr:colOff>
      <xdr:row>113</xdr:row>
      <xdr:rowOff>162185</xdr:rowOff>
    </xdr:from>
    <xdr:to>
      <xdr:col>15</xdr:col>
      <xdr:colOff>381000</xdr:colOff>
      <xdr:row>134</xdr:row>
      <xdr:rowOff>123847</xdr:rowOff>
    </xdr:to>
    <xdr:pic>
      <xdr:nvPicPr>
        <xdr:cNvPr id="11" name="Imagen 10">
          <a:extLst>
            <a:ext uri="{FF2B5EF4-FFF2-40B4-BE49-F238E27FC236}">
              <a16:creationId xmlns:a16="http://schemas.microsoft.com/office/drawing/2014/main" id="{26339571-F8E6-4B2C-8F80-89496E0AB157}"/>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val="0"/>
            </a:ext>
          </a:extLst>
        </a:blip>
        <a:srcRect/>
        <a:stretch/>
      </xdr:blipFill>
      <xdr:spPr>
        <a:xfrm>
          <a:off x="7200899" y="21755360"/>
          <a:ext cx="7038976" cy="3962162"/>
        </a:xfrm>
        <a:prstGeom prst="rect">
          <a:avLst/>
        </a:prstGeom>
      </xdr:spPr>
    </xdr:pic>
    <xdr:clientData/>
  </xdr:twoCellAnchor>
  <xdr:twoCellAnchor editAs="oneCell">
    <xdr:from>
      <xdr:col>12</xdr:col>
      <xdr:colOff>209550</xdr:colOff>
      <xdr:row>85</xdr:row>
      <xdr:rowOff>36274</xdr:rowOff>
    </xdr:from>
    <xdr:to>
      <xdr:col>16</xdr:col>
      <xdr:colOff>682625</xdr:colOff>
      <xdr:row>95</xdr:row>
      <xdr:rowOff>57149</xdr:rowOff>
    </xdr:to>
    <xdr:pic>
      <xdr:nvPicPr>
        <xdr:cNvPr id="2" name="Imagen 1">
          <a:extLst>
            <a:ext uri="{FF2B5EF4-FFF2-40B4-BE49-F238E27FC236}">
              <a16:creationId xmlns:a16="http://schemas.microsoft.com/office/drawing/2014/main" id="{E19F2955-3B07-4F0D-8CFE-E18FBBE945F9}"/>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1782425" y="16276399"/>
          <a:ext cx="3521075" cy="192587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0.4006</cdr:x>
      <cdr:y>0.15545</cdr:y>
    </cdr:from>
    <cdr:to>
      <cdr:x>0.4743</cdr:x>
      <cdr:y>0.92353</cdr:y>
    </cdr:to>
    <cdr:grpSp>
      <cdr:nvGrpSpPr>
        <cdr:cNvPr id="2" name="Grupo 1">
          <a:extLst xmlns:a="http://schemas.openxmlformats.org/drawingml/2006/main">
            <a:ext uri="{FF2B5EF4-FFF2-40B4-BE49-F238E27FC236}">
              <a16:creationId xmlns:a16="http://schemas.microsoft.com/office/drawing/2014/main" id="{44C1430C-5791-4173-9CFE-91834DCBA940}"/>
            </a:ext>
          </a:extLst>
        </cdr:cNvPr>
        <cdr:cNvGrpSpPr/>
      </cdr:nvGrpSpPr>
      <cdr:grpSpPr>
        <a:xfrm xmlns:a="http://schemas.openxmlformats.org/drawingml/2006/main">
          <a:off x="3365497" y="593726"/>
          <a:ext cx="619158" cy="2933700"/>
          <a:chOff x="0" y="0"/>
          <a:chExt cx="619125" cy="2933700"/>
        </a:xfrm>
      </cdr:grpSpPr>
      <cdr:cxnSp macro="">
        <cdr:nvCxnSpPr>
          <cdr:cNvPr id="6" name="Conector recto 5">
            <a:extLst xmlns:a="http://schemas.openxmlformats.org/drawingml/2006/main">
              <a:ext uri="{FF2B5EF4-FFF2-40B4-BE49-F238E27FC236}">
                <a16:creationId xmlns:a16="http://schemas.microsoft.com/office/drawing/2014/main" id="{13CCED73-C23F-405F-B921-D6A8C25B345F}"/>
              </a:ext>
            </a:extLst>
          </cdr:cNvPr>
          <cdr:cNvCxnSpPr/>
        </cdr:nvCxnSpPr>
        <cdr:spPr>
          <a:xfrm xmlns:a="http://schemas.openxmlformats.org/drawingml/2006/main">
            <a:off x="323850" y="352425"/>
            <a:ext cx="0" cy="2581275"/>
          </a:xfrm>
          <a:prstGeom xmlns:a="http://schemas.openxmlformats.org/drawingml/2006/main" prst="line">
            <a:avLst/>
          </a:prstGeom>
          <a:ln xmlns:a="http://schemas.openxmlformats.org/drawingml/2006/main" w="28575"/>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7" name="CuadroTexto 4">
            <a:extLst xmlns:a="http://schemas.openxmlformats.org/drawingml/2006/main">
              <a:ext uri="{FF2B5EF4-FFF2-40B4-BE49-F238E27FC236}">
                <a16:creationId xmlns:a16="http://schemas.microsoft.com/office/drawing/2014/main" id="{7F87FABE-F8B2-4C1F-824C-6624EF72ACE1}"/>
              </a:ext>
            </a:extLst>
          </cdr:cNvPr>
          <cdr:cNvSpPr txBox="1"/>
        </cdr:nvSpPr>
        <cdr:spPr>
          <a:xfrm xmlns:a="http://schemas.openxmlformats.org/drawingml/2006/main">
            <a:off x="0" y="0"/>
            <a:ext cx="619125" cy="333375"/>
          </a:xfrm>
          <a:prstGeom xmlns:a="http://schemas.openxmlformats.org/drawingml/2006/main" prst="rect">
            <a:avLst/>
          </a:prstGeom>
          <a:solidFill xmlns:a="http://schemas.openxmlformats.org/drawingml/2006/main">
            <a:schemeClr val="lt1"/>
          </a:solidFill>
          <a:ln xmlns:a="http://schemas.openxmlformats.org/drawingml/2006/main" w="25400" cmpd="sng">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2000"/>
              <a:t>PE</a:t>
            </a:r>
          </a:p>
        </cdr:txBody>
      </cdr:sp>
    </cdr:grpSp>
  </cdr:relSizeAnchor>
  <cdr:relSizeAnchor xmlns:cdr="http://schemas.openxmlformats.org/drawingml/2006/chartDrawing">
    <cdr:from>
      <cdr:x>0.54119</cdr:x>
      <cdr:y>0.27016</cdr:y>
    </cdr:from>
    <cdr:to>
      <cdr:x>0.61489</cdr:x>
      <cdr:y>0.92353</cdr:y>
    </cdr:to>
    <cdr:grpSp>
      <cdr:nvGrpSpPr>
        <cdr:cNvPr id="3" name="Grupo 2">
          <a:extLst xmlns:a="http://schemas.openxmlformats.org/drawingml/2006/main">
            <a:ext uri="{FF2B5EF4-FFF2-40B4-BE49-F238E27FC236}">
              <a16:creationId xmlns:a16="http://schemas.microsoft.com/office/drawing/2014/main" id="{0ACC2B72-2631-44D6-9911-36526EB38E9E}"/>
            </a:ext>
          </a:extLst>
        </cdr:cNvPr>
        <cdr:cNvGrpSpPr/>
      </cdr:nvGrpSpPr>
      <cdr:grpSpPr>
        <a:xfrm xmlns:a="http://schemas.openxmlformats.org/drawingml/2006/main">
          <a:off x="4546565" y="1031883"/>
          <a:ext cx="619157" cy="2495562"/>
          <a:chOff x="438123" y="428628"/>
          <a:chExt cx="619125" cy="2495577"/>
        </a:xfrm>
      </cdr:grpSpPr>
      <cdr:cxnSp macro="">
        <cdr:nvCxnSpPr>
          <cdr:cNvPr id="4" name="Conector recto 3">
            <a:extLst xmlns:a="http://schemas.openxmlformats.org/drawingml/2006/main">
              <a:ext uri="{FF2B5EF4-FFF2-40B4-BE49-F238E27FC236}">
                <a16:creationId xmlns:a16="http://schemas.microsoft.com/office/drawing/2014/main" id="{98E16921-02FA-4F94-8E98-8FE35C8009CA}"/>
              </a:ext>
            </a:extLst>
          </cdr:cNvPr>
          <cdr:cNvCxnSpPr/>
        </cdr:nvCxnSpPr>
        <cdr:spPr>
          <a:xfrm xmlns:a="http://schemas.openxmlformats.org/drawingml/2006/main">
            <a:off x="761973" y="762007"/>
            <a:ext cx="0" cy="2162198"/>
          </a:xfrm>
          <a:prstGeom xmlns:a="http://schemas.openxmlformats.org/drawingml/2006/main" prst="line">
            <a:avLst/>
          </a:prstGeom>
          <a:ln xmlns:a="http://schemas.openxmlformats.org/drawingml/2006/main" w="28575">
            <a:solidFill>
              <a:srgbClr val="FF0000"/>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5" name="CuadroTexto 24">
            <a:extLst xmlns:a="http://schemas.openxmlformats.org/drawingml/2006/main">
              <a:ext uri="{FF2B5EF4-FFF2-40B4-BE49-F238E27FC236}">
                <a16:creationId xmlns:a16="http://schemas.microsoft.com/office/drawing/2014/main" id="{355705FD-B0EE-4C39-97F8-02A842CAE289}"/>
              </a:ext>
            </a:extLst>
          </cdr:cNvPr>
          <cdr:cNvSpPr txBox="1"/>
        </cdr:nvSpPr>
        <cdr:spPr>
          <a:xfrm xmlns:a="http://schemas.openxmlformats.org/drawingml/2006/main">
            <a:off x="438123" y="428628"/>
            <a:ext cx="619125" cy="333379"/>
          </a:xfrm>
          <a:prstGeom xmlns:a="http://schemas.openxmlformats.org/drawingml/2006/main" prst="rect">
            <a:avLst/>
          </a:prstGeom>
          <a:solidFill xmlns:a="http://schemas.openxmlformats.org/drawingml/2006/main">
            <a:schemeClr val="lt1"/>
          </a:solidFill>
          <a:ln xmlns:a="http://schemas.openxmlformats.org/drawingml/2006/main" w="25400" cmpd="sng">
            <a:solidFill>
              <a:srgbClr val="FF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1600">
                <a:solidFill>
                  <a:srgbClr val="FF0000"/>
                </a:solidFill>
              </a:rPr>
              <a:t>Prod</a:t>
            </a:r>
          </a:p>
        </cdr:txBody>
      </cdr:sp>
    </cdr:grpSp>
  </cdr:relSizeAnchor>
</c:userShapes>
</file>

<file path=xl/drawings/drawing21.xml><?xml version="1.0" encoding="utf-8"?>
<c:userShapes xmlns:c="http://schemas.openxmlformats.org/drawingml/2006/chart">
  <cdr:relSizeAnchor xmlns:cdr="http://schemas.openxmlformats.org/drawingml/2006/chartDrawing">
    <cdr:from>
      <cdr:x>0.50378</cdr:x>
      <cdr:y>0.15794</cdr:y>
    </cdr:from>
    <cdr:to>
      <cdr:x>0.57748</cdr:x>
      <cdr:y>0.92602</cdr:y>
    </cdr:to>
    <cdr:grpSp>
      <cdr:nvGrpSpPr>
        <cdr:cNvPr id="2" name="Grupo 1">
          <a:extLst xmlns:a="http://schemas.openxmlformats.org/drawingml/2006/main">
            <a:ext uri="{FF2B5EF4-FFF2-40B4-BE49-F238E27FC236}">
              <a16:creationId xmlns:a16="http://schemas.microsoft.com/office/drawing/2014/main" id="{44C1430C-5791-4173-9CFE-91834DCBA940}"/>
            </a:ext>
          </a:extLst>
        </cdr:cNvPr>
        <cdr:cNvGrpSpPr/>
      </cdr:nvGrpSpPr>
      <cdr:grpSpPr>
        <a:xfrm xmlns:a="http://schemas.openxmlformats.org/drawingml/2006/main">
          <a:off x="4232274" y="603256"/>
          <a:ext cx="619158" cy="2933700"/>
          <a:chOff x="0" y="0"/>
          <a:chExt cx="619125" cy="2933700"/>
        </a:xfrm>
      </cdr:grpSpPr>
      <cdr:cxnSp macro="">
        <cdr:nvCxnSpPr>
          <cdr:cNvPr id="6" name="Conector recto 5">
            <a:extLst xmlns:a="http://schemas.openxmlformats.org/drawingml/2006/main">
              <a:ext uri="{FF2B5EF4-FFF2-40B4-BE49-F238E27FC236}">
                <a16:creationId xmlns:a16="http://schemas.microsoft.com/office/drawing/2014/main" id="{13CCED73-C23F-405F-B921-D6A8C25B345F}"/>
              </a:ext>
            </a:extLst>
          </cdr:cNvPr>
          <cdr:cNvCxnSpPr/>
        </cdr:nvCxnSpPr>
        <cdr:spPr>
          <a:xfrm xmlns:a="http://schemas.openxmlformats.org/drawingml/2006/main">
            <a:off x="323850" y="352425"/>
            <a:ext cx="0" cy="2581275"/>
          </a:xfrm>
          <a:prstGeom xmlns:a="http://schemas.openxmlformats.org/drawingml/2006/main" prst="line">
            <a:avLst/>
          </a:prstGeom>
          <a:ln xmlns:a="http://schemas.openxmlformats.org/drawingml/2006/main" w="28575"/>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7" name="CuadroTexto 4">
            <a:extLst xmlns:a="http://schemas.openxmlformats.org/drawingml/2006/main">
              <a:ext uri="{FF2B5EF4-FFF2-40B4-BE49-F238E27FC236}">
                <a16:creationId xmlns:a16="http://schemas.microsoft.com/office/drawing/2014/main" id="{7F87FABE-F8B2-4C1F-824C-6624EF72ACE1}"/>
              </a:ext>
            </a:extLst>
          </cdr:cNvPr>
          <cdr:cNvSpPr txBox="1"/>
        </cdr:nvSpPr>
        <cdr:spPr>
          <a:xfrm xmlns:a="http://schemas.openxmlformats.org/drawingml/2006/main">
            <a:off x="0" y="0"/>
            <a:ext cx="619125" cy="333375"/>
          </a:xfrm>
          <a:prstGeom xmlns:a="http://schemas.openxmlformats.org/drawingml/2006/main" prst="rect">
            <a:avLst/>
          </a:prstGeom>
          <a:solidFill xmlns:a="http://schemas.openxmlformats.org/drawingml/2006/main">
            <a:schemeClr val="lt1"/>
          </a:solidFill>
          <a:ln xmlns:a="http://schemas.openxmlformats.org/drawingml/2006/main" w="25400" cmpd="sng">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2000"/>
              <a:t>PE</a:t>
            </a:r>
          </a:p>
        </cdr:txBody>
      </cdr:sp>
    </cdr:grpSp>
  </cdr:relSizeAnchor>
  <cdr:relSizeAnchor xmlns:cdr="http://schemas.openxmlformats.org/drawingml/2006/chartDrawing">
    <cdr:from>
      <cdr:x>0.45049</cdr:x>
      <cdr:y>0.27265</cdr:y>
    </cdr:from>
    <cdr:to>
      <cdr:x>0.52418</cdr:x>
      <cdr:y>0.92602</cdr:y>
    </cdr:to>
    <cdr:grpSp>
      <cdr:nvGrpSpPr>
        <cdr:cNvPr id="3" name="Grupo 2">
          <a:extLst xmlns:a="http://schemas.openxmlformats.org/drawingml/2006/main">
            <a:ext uri="{FF2B5EF4-FFF2-40B4-BE49-F238E27FC236}">
              <a16:creationId xmlns:a16="http://schemas.microsoft.com/office/drawing/2014/main" id="{0ACC2B72-2631-44D6-9911-36526EB38E9E}"/>
            </a:ext>
          </a:extLst>
        </cdr:cNvPr>
        <cdr:cNvGrpSpPr/>
      </cdr:nvGrpSpPr>
      <cdr:grpSpPr>
        <a:xfrm xmlns:a="http://schemas.openxmlformats.org/drawingml/2006/main">
          <a:off x="3784589" y="1041393"/>
          <a:ext cx="619074" cy="2495563"/>
          <a:chOff x="438123" y="428628"/>
          <a:chExt cx="619125" cy="2495577"/>
        </a:xfrm>
      </cdr:grpSpPr>
      <cdr:cxnSp macro="">
        <cdr:nvCxnSpPr>
          <cdr:cNvPr id="4" name="Conector recto 3">
            <a:extLst xmlns:a="http://schemas.openxmlformats.org/drawingml/2006/main">
              <a:ext uri="{FF2B5EF4-FFF2-40B4-BE49-F238E27FC236}">
                <a16:creationId xmlns:a16="http://schemas.microsoft.com/office/drawing/2014/main" id="{98E16921-02FA-4F94-8E98-8FE35C8009CA}"/>
              </a:ext>
            </a:extLst>
          </cdr:cNvPr>
          <cdr:cNvCxnSpPr/>
        </cdr:nvCxnSpPr>
        <cdr:spPr>
          <a:xfrm xmlns:a="http://schemas.openxmlformats.org/drawingml/2006/main">
            <a:off x="761973" y="762007"/>
            <a:ext cx="0" cy="2162198"/>
          </a:xfrm>
          <a:prstGeom xmlns:a="http://schemas.openxmlformats.org/drawingml/2006/main" prst="line">
            <a:avLst/>
          </a:prstGeom>
          <a:ln xmlns:a="http://schemas.openxmlformats.org/drawingml/2006/main" w="28575">
            <a:solidFill>
              <a:srgbClr val="FF0000"/>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5" name="CuadroTexto 24">
            <a:extLst xmlns:a="http://schemas.openxmlformats.org/drawingml/2006/main">
              <a:ext uri="{FF2B5EF4-FFF2-40B4-BE49-F238E27FC236}">
                <a16:creationId xmlns:a16="http://schemas.microsoft.com/office/drawing/2014/main" id="{355705FD-B0EE-4C39-97F8-02A842CAE289}"/>
              </a:ext>
            </a:extLst>
          </cdr:cNvPr>
          <cdr:cNvSpPr txBox="1"/>
        </cdr:nvSpPr>
        <cdr:spPr>
          <a:xfrm xmlns:a="http://schemas.openxmlformats.org/drawingml/2006/main">
            <a:off x="438123" y="428628"/>
            <a:ext cx="619125" cy="333379"/>
          </a:xfrm>
          <a:prstGeom xmlns:a="http://schemas.openxmlformats.org/drawingml/2006/main" prst="rect">
            <a:avLst/>
          </a:prstGeom>
          <a:solidFill xmlns:a="http://schemas.openxmlformats.org/drawingml/2006/main">
            <a:schemeClr val="lt1"/>
          </a:solidFill>
          <a:ln xmlns:a="http://schemas.openxmlformats.org/drawingml/2006/main" w="25400" cmpd="sng">
            <a:solidFill>
              <a:srgbClr val="FF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1600">
                <a:solidFill>
                  <a:srgbClr val="FF0000"/>
                </a:solidFill>
              </a:rPr>
              <a:t>Prod</a:t>
            </a:r>
          </a:p>
        </cdr:txBody>
      </cdr:sp>
    </cdr:grpSp>
  </cdr:relSizeAnchor>
</c:userShapes>
</file>

<file path=xl/drawings/drawing22.xml><?xml version="1.0" encoding="utf-8"?>
<c:userShapes xmlns:c="http://schemas.openxmlformats.org/drawingml/2006/chart">
  <cdr:relSizeAnchor xmlns:cdr="http://schemas.openxmlformats.org/drawingml/2006/chartDrawing">
    <cdr:from>
      <cdr:x>0.51512</cdr:x>
      <cdr:y>0.15545</cdr:y>
    </cdr:from>
    <cdr:to>
      <cdr:x>0.58882</cdr:x>
      <cdr:y>0.92353</cdr:y>
    </cdr:to>
    <cdr:grpSp>
      <cdr:nvGrpSpPr>
        <cdr:cNvPr id="2" name="Grupo 1">
          <a:extLst xmlns:a="http://schemas.openxmlformats.org/drawingml/2006/main">
            <a:ext uri="{FF2B5EF4-FFF2-40B4-BE49-F238E27FC236}">
              <a16:creationId xmlns:a16="http://schemas.microsoft.com/office/drawing/2014/main" id="{44C1430C-5791-4173-9CFE-91834DCBA940}"/>
            </a:ext>
          </a:extLst>
        </cdr:cNvPr>
        <cdr:cNvGrpSpPr/>
      </cdr:nvGrpSpPr>
      <cdr:grpSpPr>
        <a:xfrm xmlns:a="http://schemas.openxmlformats.org/drawingml/2006/main">
          <a:off x="4327533" y="593731"/>
          <a:ext cx="619158" cy="2933700"/>
          <a:chOff x="0" y="0"/>
          <a:chExt cx="619125" cy="2933700"/>
        </a:xfrm>
      </cdr:grpSpPr>
      <cdr:cxnSp macro="">
        <cdr:nvCxnSpPr>
          <cdr:cNvPr id="6" name="Conector recto 5">
            <a:extLst xmlns:a="http://schemas.openxmlformats.org/drawingml/2006/main">
              <a:ext uri="{FF2B5EF4-FFF2-40B4-BE49-F238E27FC236}">
                <a16:creationId xmlns:a16="http://schemas.microsoft.com/office/drawing/2014/main" id="{13CCED73-C23F-405F-B921-D6A8C25B345F}"/>
              </a:ext>
            </a:extLst>
          </cdr:cNvPr>
          <cdr:cNvCxnSpPr/>
        </cdr:nvCxnSpPr>
        <cdr:spPr>
          <a:xfrm xmlns:a="http://schemas.openxmlformats.org/drawingml/2006/main">
            <a:off x="323850" y="352425"/>
            <a:ext cx="0" cy="2581275"/>
          </a:xfrm>
          <a:prstGeom xmlns:a="http://schemas.openxmlformats.org/drawingml/2006/main" prst="line">
            <a:avLst/>
          </a:prstGeom>
          <a:ln xmlns:a="http://schemas.openxmlformats.org/drawingml/2006/main" w="28575"/>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7" name="CuadroTexto 4">
            <a:extLst xmlns:a="http://schemas.openxmlformats.org/drawingml/2006/main">
              <a:ext uri="{FF2B5EF4-FFF2-40B4-BE49-F238E27FC236}">
                <a16:creationId xmlns:a16="http://schemas.microsoft.com/office/drawing/2014/main" id="{7F87FABE-F8B2-4C1F-824C-6624EF72ACE1}"/>
              </a:ext>
            </a:extLst>
          </cdr:cNvPr>
          <cdr:cNvSpPr txBox="1"/>
        </cdr:nvSpPr>
        <cdr:spPr>
          <a:xfrm xmlns:a="http://schemas.openxmlformats.org/drawingml/2006/main">
            <a:off x="0" y="0"/>
            <a:ext cx="619125" cy="333375"/>
          </a:xfrm>
          <a:prstGeom xmlns:a="http://schemas.openxmlformats.org/drawingml/2006/main" prst="rect">
            <a:avLst/>
          </a:prstGeom>
          <a:solidFill xmlns:a="http://schemas.openxmlformats.org/drawingml/2006/main">
            <a:schemeClr val="lt1"/>
          </a:solidFill>
          <a:ln xmlns:a="http://schemas.openxmlformats.org/drawingml/2006/main" w="25400" cmpd="sng">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2000"/>
              <a:t>PE</a:t>
            </a:r>
          </a:p>
        </cdr:txBody>
      </cdr:sp>
    </cdr:grpSp>
  </cdr:relSizeAnchor>
  <cdr:relSizeAnchor xmlns:cdr="http://schemas.openxmlformats.org/drawingml/2006/chartDrawing">
    <cdr:from>
      <cdr:x>0.60355</cdr:x>
      <cdr:y>0.27265</cdr:y>
    </cdr:from>
    <cdr:to>
      <cdr:x>0.67725</cdr:x>
      <cdr:y>0.92602</cdr:y>
    </cdr:to>
    <cdr:grpSp>
      <cdr:nvGrpSpPr>
        <cdr:cNvPr id="3" name="Grupo 2">
          <a:extLst xmlns:a="http://schemas.openxmlformats.org/drawingml/2006/main">
            <a:ext uri="{FF2B5EF4-FFF2-40B4-BE49-F238E27FC236}">
              <a16:creationId xmlns:a16="http://schemas.microsoft.com/office/drawing/2014/main" id="{0ACC2B72-2631-44D6-9911-36526EB38E9E}"/>
            </a:ext>
          </a:extLst>
        </cdr:cNvPr>
        <cdr:cNvGrpSpPr/>
      </cdr:nvGrpSpPr>
      <cdr:grpSpPr>
        <a:xfrm xmlns:a="http://schemas.openxmlformats.org/drawingml/2006/main">
          <a:off x="5070454" y="1041393"/>
          <a:ext cx="619158" cy="2495563"/>
          <a:chOff x="438123" y="428628"/>
          <a:chExt cx="619125" cy="2495577"/>
        </a:xfrm>
      </cdr:grpSpPr>
      <cdr:cxnSp macro="">
        <cdr:nvCxnSpPr>
          <cdr:cNvPr id="4" name="Conector recto 3">
            <a:extLst xmlns:a="http://schemas.openxmlformats.org/drawingml/2006/main">
              <a:ext uri="{FF2B5EF4-FFF2-40B4-BE49-F238E27FC236}">
                <a16:creationId xmlns:a16="http://schemas.microsoft.com/office/drawing/2014/main" id="{98E16921-02FA-4F94-8E98-8FE35C8009CA}"/>
              </a:ext>
            </a:extLst>
          </cdr:cNvPr>
          <cdr:cNvCxnSpPr/>
        </cdr:nvCxnSpPr>
        <cdr:spPr>
          <a:xfrm xmlns:a="http://schemas.openxmlformats.org/drawingml/2006/main">
            <a:off x="761973" y="762007"/>
            <a:ext cx="0" cy="2162198"/>
          </a:xfrm>
          <a:prstGeom xmlns:a="http://schemas.openxmlformats.org/drawingml/2006/main" prst="line">
            <a:avLst/>
          </a:prstGeom>
          <a:ln xmlns:a="http://schemas.openxmlformats.org/drawingml/2006/main" w="28575">
            <a:solidFill>
              <a:srgbClr val="FF0000"/>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5" name="CuadroTexto 24">
            <a:extLst xmlns:a="http://schemas.openxmlformats.org/drawingml/2006/main">
              <a:ext uri="{FF2B5EF4-FFF2-40B4-BE49-F238E27FC236}">
                <a16:creationId xmlns:a16="http://schemas.microsoft.com/office/drawing/2014/main" id="{355705FD-B0EE-4C39-97F8-02A842CAE289}"/>
              </a:ext>
            </a:extLst>
          </cdr:cNvPr>
          <cdr:cNvSpPr txBox="1"/>
        </cdr:nvSpPr>
        <cdr:spPr>
          <a:xfrm xmlns:a="http://schemas.openxmlformats.org/drawingml/2006/main">
            <a:off x="438123" y="428628"/>
            <a:ext cx="619125" cy="333379"/>
          </a:xfrm>
          <a:prstGeom xmlns:a="http://schemas.openxmlformats.org/drawingml/2006/main" prst="rect">
            <a:avLst/>
          </a:prstGeom>
          <a:solidFill xmlns:a="http://schemas.openxmlformats.org/drawingml/2006/main">
            <a:schemeClr val="lt1"/>
          </a:solidFill>
          <a:ln xmlns:a="http://schemas.openxmlformats.org/drawingml/2006/main" w="25400" cmpd="sng">
            <a:solidFill>
              <a:srgbClr val="FF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1600">
                <a:solidFill>
                  <a:srgbClr val="FF0000"/>
                </a:solidFill>
              </a:rPr>
              <a:t>Prod</a:t>
            </a:r>
          </a:p>
        </cdr:txBody>
      </cdr:sp>
    </cdr:grpSp>
  </cdr:relSizeAnchor>
</c:userShapes>
</file>

<file path=xl/drawings/drawing23.xml><?xml version="1.0" encoding="utf-8"?>
<c:userShapes xmlns:c="http://schemas.openxmlformats.org/drawingml/2006/chart">
  <cdr:relSizeAnchor xmlns:cdr="http://schemas.openxmlformats.org/drawingml/2006/chartDrawing">
    <cdr:from>
      <cdr:x>0.4539</cdr:x>
      <cdr:y>0.15794</cdr:y>
    </cdr:from>
    <cdr:to>
      <cdr:x>0.5276</cdr:x>
      <cdr:y>0.92602</cdr:y>
    </cdr:to>
    <cdr:grpSp>
      <cdr:nvGrpSpPr>
        <cdr:cNvPr id="2" name="Grupo 1">
          <a:extLst xmlns:a="http://schemas.openxmlformats.org/drawingml/2006/main">
            <a:ext uri="{FF2B5EF4-FFF2-40B4-BE49-F238E27FC236}">
              <a16:creationId xmlns:a16="http://schemas.microsoft.com/office/drawing/2014/main" id="{44C1430C-5791-4173-9CFE-91834DCBA940}"/>
            </a:ext>
          </a:extLst>
        </cdr:cNvPr>
        <cdr:cNvGrpSpPr/>
      </cdr:nvGrpSpPr>
      <cdr:grpSpPr>
        <a:xfrm xmlns:a="http://schemas.openxmlformats.org/drawingml/2006/main">
          <a:off x="3813223" y="603256"/>
          <a:ext cx="619158" cy="2933700"/>
          <a:chOff x="0" y="0"/>
          <a:chExt cx="619125" cy="2933700"/>
        </a:xfrm>
      </cdr:grpSpPr>
      <cdr:cxnSp macro="">
        <cdr:nvCxnSpPr>
          <cdr:cNvPr id="6" name="Conector recto 5">
            <a:extLst xmlns:a="http://schemas.openxmlformats.org/drawingml/2006/main">
              <a:ext uri="{FF2B5EF4-FFF2-40B4-BE49-F238E27FC236}">
                <a16:creationId xmlns:a16="http://schemas.microsoft.com/office/drawing/2014/main" id="{13CCED73-C23F-405F-B921-D6A8C25B345F}"/>
              </a:ext>
            </a:extLst>
          </cdr:cNvPr>
          <cdr:cNvCxnSpPr/>
        </cdr:nvCxnSpPr>
        <cdr:spPr>
          <a:xfrm xmlns:a="http://schemas.openxmlformats.org/drawingml/2006/main">
            <a:off x="323850" y="352425"/>
            <a:ext cx="0" cy="2581275"/>
          </a:xfrm>
          <a:prstGeom xmlns:a="http://schemas.openxmlformats.org/drawingml/2006/main" prst="line">
            <a:avLst/>
          </a:prstGeom>
          <a:ln xmlns:a="http://schemas.openxmlformats.org/drawingml/2006/main" w="28575"/>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7" name="CuadroTexto 4">
            <a:extLst xmlns:a="http://schemas.openxmlformats.org/drawingml/2006/main">
              <a:ext uri="{FF2B5EF4-FFF2-40B4-BE49-F238E27FC236}">
                <a16:creationId xmlns:a16="http://schemas.microsoft.com/office/drawing/2014/main" id="{7F87FABE-F8B2-4C1F-824C-6624EF72ACE1}"/>
              </a:ext>
            </a:extLst>
          </cdr:cNvPr>
          <cdr:cNvSpPr txBox="1"/>
        </cdr:nvSpPr>
        <cdr:spPr>
          <a:xfrm xmlns:a="http://schemas.openxmlformats.org/drawingml/2006/main">
            <a:off x="0" y="0"/>
            <a:ext cx="619125" cy="333375"/>
          </a:xfrm>
          <a:prstGeom xmlns:a="http://schemas.openxmlformats.org/drawingml/2006/main" prst="rect">
            <a:avLst/>
          </a:prstGeom>
          <a:solidFill xmlns:a="http://schemas.openxmlformats.org/drawingml/2006/main">
            <a:schemeClr val="lt1"/>
          </a:solidFill>
          <a:ln xmlns:a="http://schemas.openxmlformats.org/drawingml/2006/main" w="25400" cmpd="sng">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2000"/>
              <a:t>PE</a:t>
            </a:r>
          </a:p>
        </cdr:txBody>
      </cdr:sp>
    </cdr:grpSp>
  </cdr:relSizeAnchor>
  <cdr:relSizeAnchor xmlns:cdr="http://schemas.openxmlformats.org/drawingml/2006/chartDrawing">
    <cdr:from>
      <cdr:x>0.60468</cdr:x>
      <cdr:y>0.27016</cdr:y>
    </cdr:from>
    <cdr:to>
      <cdr:x>0.67838</cdr:x>
      <cdr:y>0.92353</cdr:y>
    </cdr:to>
    <cdr:grpSp>
      <cdr:nvGrpSpPr>
        <cdr:cNvPr id="3" name="Grupo 2">
          <a:extLst xmlns:a="http://schemas.openxmlformats.org/drawingml/2006/main">
            <a:ext uri="{FF2B5EF4-FFF2-40B4-BE49-F238E27FC236}">
              <a16:creationId xmlns:a16="http://schemas.microsoft.com/office/drawing/2014/main" id="{0ACC2B72-2631-44D6-9911-36526EB38E9E}"/>
            </a:ext>
          </a:extLst>
        </cdr:cNvPr>
        <cdr:cNvGrpSpPr/>
      </cdr:nvGrpSpPr>
      <cdr:grpSpPr>
        <a:xfrm xmlns:a="http://schemas.openxmlformats.org/drawingml/2006/main">
          <a:off x="5079948" y="1031883"/>
          <a:ext cx="619157" cy="2495562"/>
          <a:chOff x="438123" y="428628"/>
          <a:chExt cx="619125" cy="2495577"/>
        </a:xfrm>
      </cdr:grpSpPr>
      <cdr:cxnSp macro="">
        <cdr:nvCxnSpPr>
          <cdr:cNvPr id="4" name="Conector recto 3">
            <a:extLst xmlns:a="http://schemas.openxmlformats.org/drawingml/2006/main">
              <a:ext uri="{FF2B5EF4-FFF2-40B4-BE49-F238E27FC236}">
                <a16:creationId xmlns:a16="http://schemas.microsoft.com/office/drawing/2014/main" id="{98E16921-02FA-4F94-8E98-8FE35C8009CA}"/>
              </a:ext>
            </a:extLst>
          </cdr:cNvPr>
          <cdr:cNvCxnSpPr/>
        </cdr:nvCxnSpPr>
        <cdr:spPr>
          <a:xfrm xmlns:a="http://schemas.openxmlformats.org/drawingml/2006/main">
            <a:off x="761973" y="762007"/>
            <a:ext cx="0" cy="2162198"/>
          </a:xfrm>
          <a:prstGeom xmlns:a="http://schemas.openxmlformats.org/drawingml/2006/main" prst="line">
            <a:avLst/>
          </a:prstGeom>
          <a:ln xmlns:a="http://schemas.openxmlformats.org/drawingml/2006/main" w="28575">
            <a:solidFill>
              <a:srgbClr val="FF0000"/>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sp macro="" textlink="">
        <cdr:nvSpPr>
          <cdr:cNvPr id="5" name="CuadroTexto 24">
            <a:extLst xmlns:a="http://schemas.openxmlformats.org/drawingml/2006/main">
              <a:ext uri="{FF2B5EF4-FFF2-40B4-BE49-F238E27FC236}">
                <a16:creationId xmlns:a16="http://schemas.microsoft.com/office/drawing/2014/main" id="{355705FD-B0EE-4C39-97F8-02A842CAE289}"/>
              </a:ext>
            </a:extLst>
          </cdr:cNvPr>
          <cdr:cNvSpPr txBox="1"/>
        </cdr:nvSpPr>
        <cdr:spPr>
          <a:xfrm xmlns:a="http://schemas.openxmlformats.org/drawingml/2006/main">
            <a:off x="438123" y="428628"/>
            <a:ext cx="619125" cy="333379"/>
          </a:xfrm>
          <a:prstGeom xmlns:a="http://schemas.openxmlformats.org/drawingml/2006/main" prst="rect">
            <a:avLst/>
          </a:prstGeom>
          <a:solidFill xmlns:a="http://schemas.openxmlformats.org/drawingml/2006/main">
            <a:schemeClr val="lt1"/>
          </a:solidFill>
          <a:ln xmlns:a="http://schemas.openxmlformats.org/drawingml/2006/main" w="25400" cmpd="sng">
            <a:solidFill>
              <a:srgbClr val="FF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UY" sz="1600">
                <a:solidFill>
                  <a:srgbClr val="FF0000"/>
                </a:solidFill>
              </a:rPr>
              <a:t>Prod</a:t>
            </a:r>
          </a:p>
        </cdr:txBody>
      </cdr:sp>
    </cdr:grpSp>
  </cdr:relSizeAnchor>
</c:userShapes>
</file>

<file path=xl/drawings/drawing3.xml><?xml version="1.0" encoding="utf-8"?>
<xdr:wsDr xmlns:xdr="http://schemas.openxmlformats.org/drawingml/2006/spreadsheetDrawing" xmlns:a="http://schemas.openxmlformats.org/drawingml/2006/main">
  <xdr:twoCellAnchor editAs="oneCell">
    <xdr:from>
      <xdr:col>7</xdr:col>
      <xdr:colOff>363112</xdr:colOff>
      <xdr:row>2</xdr:row>
      <xdr:rowOff>104775</xdr:rowOff>
    </xdr:from>
    <xdr:to>
      <xdr:col>16</xdr:col>
      <xdr:colOff>57150</xdr:colOff>
      <xdr:row>24</xdr:row>
      <xdr:rowOff>38100</xdr:rowOff>
    </xdr:to>
    <xdr:pic>
      <xdr:nvPicPr>
        <xdr:cNvPr id="4" name="Imagen 3">
          <a:extLst>
            <a:ext uri="{FF2B5EF4-FFF2-40B4-BE49-F238E27FC236}">
              <a16:creationId xmlns:a16="http://schemas.microsoft.com/office/drawing/2014/main" id="{2FC195FE-E17A-4371-BCC9-A6A523CEB776}"/>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9735712" y="485775"/>
          <a:ext cx="6552038" cy="453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1148</xdr:colOff>
      <xdr:row>1</xdr:row>
      <xdr:rowOff>114300</xdr:rowOff>
    </xdr:from>
    <xdr:to>
      <xdr:col>26</xdr:col>
      <xdr:colOff>752475</xdr:colOff>
      <xdr:row>27</xdr:row>
      <xdr:rowOff>141356</xdr:rowOff>
    </xdr:to>
    <xdr:pic>
      <xdr:nvPicPr>
        <xdr:cNvPr id="5" name="Imagen 4">
          <a:extLst>
            <a:ext uri="{FF2B5EF4-FFF2-40B4-BE49-F238E27FC236}">
              <a16:creationId xmlns:a16="http://schemas.microsoft.com/office/drawing/2014/main" id="{92AAA37A-A0DF-4BEB-8B9A-879D006C53F8}"/>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16231748" y="114300"/>
          <a:ext cx="8371327" cy="5608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761999</xdr:colOff>
      <xdr:row>36</xdr:row>
      <xdr:rowOff>176212</xdr:rowOff>
    </xdr:from>
    <xdr:to>
      <xdr:col>7</xdr:col>
      <xdr:colOff>542924</xdr:colOff>
      <xdr:row>56</xdr:row>
      <xdr:rowOff>171450</xdr:rowOff>
    </xdr:to>
    <xdr:graphicFrame macro="">
      <xdr:nvGraphicFramePr>
        <xdr:cNvPr id="3" name="Gráfico 2">
          <a:extLst>
            <a:ext uri="{FF2B5EF4-FFF2-40B4-BE49-F238E27FC236}">
              <a16:creationId xmlns:a16="http://schemas.microsoft.com/office/drawing/2014/main" id="{F1205ED6-38A0-4C60-B6AA-E13775FC59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761999</xdr:colOff>
      <xdr:row>36</xdr:row>
      <xdr:rowOff>176211</xdr:rowOff>
    </xdr:from>
    <xdr:to>
      <xdr:col>15</xdr:col>
      <xdr:colOff>9524</xdr:colOff>
      <xdr:row>57</xdr:row>
      <xdr:rowOff>0</xdr:rowOff>
    </xdr:to>
    <xdr:graphicFrame macro="">
      <xdr:nvGraphicFramePr>
        <xdr:cNvPr id="6" name="Gráfico 5">
          <a:extLst>
            <a:ext uri="{FF2B5EF4-FFF2-40B4-BE49-F238E27FC236}">
              <a16:creationId xmlns:a16="http://schemas.microsoft.com/office/drawing/2014/main" id="{75275190-B21C-4431-91F0-07629B4126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9524</xdr:colOff>
      <xdr:row>58</xdr:row>
      <xdr:rowOff>4761</xdr:rowOff>
    </xdr:from>
    <xdr:to>
      <xdr:col>7</xdr:col>
      <xdr:colOff>533399</xdr:colOff>
      <xdr:row>78</xdr:row>
      <xdr:rowOff>47624</xdr:rowOff>
    </xdr:to>
    <xdr:graphicFrame macro="">
      <xdr:nvGraphicFramePr>
        <xdr:cNvPr id="9" name="Gráfico 8">
          <a:extLst>
            <a:ext uri="{FF2B5EF4-FFF2-40B4-BE49-F238E27FC236}">
              <a16:creationId xmlns:a16="http://schemas.microsoft.com/office/drawing/2014/main" id="{D07C9445-FE6E-430A-A886-0D4ABB0C27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9524</xdr:colOff>
      <xdr:row>58</xdr:row>
      <xdr:rowOff>14286</xdr:rowOff>
    </xdr:from>
    <xdr:to>
      <xdr:col>15</xdr:col>
      <xdr:colOff>19049</xdr:colOff>
      <xdr:row>78</xdr:row>
      <xdr:rowOff>38099</xdr:rowOff>
    </xdr:to>
    <xdr:graphicFrame macro="">
      <xdr:nvGraphicFramePr>
        <xdr:cNvPr id="11" name="Gráfico 10">
          <a:extLst>
            <a:ext uri="{FF2B5EF4-FFF2-40B4-BE49-F238E27FC236}">
              <a16:creationId xmlns:a16="http://schemas.microsoft.com/office/drawing/2014/main" id="{4F1E2DB1-2C59-4711-A27F-EF35A9804B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761999</xdr:colOff>
      <xdr:row>118</xdr:row>
      <xdr:rowOff>176212</xdr:rowOff>
    </xdr:from>
    <xdr:to>
      <xdr:col>7</xdr:col>
      <xdr:colOff>542924</xdr:colOff>
      <xdr:row>138</xdr:row>
      <xdr:rowOff>171450</xdr:rowOff>
    </xdr:to>
    <xdr:graphicFrame macro="">
      <xdr:nvGraphicFramePr>
        <xdr:cNvPr id="12" name="Gráfico 11">
          <a:extLst>
            <a:ext uri="{FF2B5EF4-FFF2-40B4-BE49-F238E27FC236}">
              <a16:creationId xmlns:a16="http://schemas.microsoft.com/office/drawing/2014/main" id="{0781B2EF-E095-4B83-96EE-8B511261F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761999</xdr:colOff>
      <xdr:row>118</xdr:row>
      <xdr:rowOff>176211</xdr:rowOff>
    </xdr:from>
    <xdr:to>
      <xdr:col>15</xdr:col>
      <xdr:colOff>9524</xdr:colOff>
      <xdr:row>139</xdr:row>
      <xdr:rowOff>0</xdr:rowOff>
    </xdr:to>
    <xdr:graphicFrame macro="">
      <xdr:nvGraphicFramePr>
        <xdr:cNvPr id="13" name="Gráfico 12">
          <a:extLst>
            <a:ext uri="{FF2B5EF4-FFF2-40B4-BE49-F238E27FC236}">
              <a16:creationId xmlns:a16="http://schemas.microsoft.com/office/drawing/2014/main" id="{6382A89D-DCD0-41D2-976A-E30145ED8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9524</xdr:colOff>
      <xdr:row>140</xdr:row>
      <xdr:rowOff>4761</xdr:rowOff>
    </xdr:from>
    <xdr:to>
      <xdr:col>7</xdr:col>
      <xdr:colOff>533399</xdr:colOff>
      <xdr:row>160</xdr:row>
      <xdr:rowOff>47624</xdr:rowOff>
    </xdr:to>
    <xdr:graphicFrame macro="">
      <xdr:nvGraphicFramePr>
        <xdr:cNvPr id="14" name="Gráfico 13">
          <a:extLst>
            <a:ext uri="{FF2B5EF4-FFF2-40B4-BE49-F238E27FC236}">
              <a16:creationId xmlns:a16="http://schemas.microsoft.com/office/drawing/2014/main" id="{9A7D3BAB-10D1-4CB2-9AE2-951BDC31C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9524</xdr:colOff>
      <xdr:row>140</xdr:row>
      <xdr:rowOff>14286</xdr:rowOff>
    </xdr:from>
    <xdr:to>
      <xdr:col>15</xdr:col>
      <xdr:colOff>19049</xdr:colOff>
      <xdr:row>160</xdr:row>
      <xdr:rowOff>38099</xdr:rowOff>
    </xdr:to>
    <xdr:graphicFrame macro="">
      <xdr:nvGraphicFramePr>
        <xdr:cNvPr id="15" name="Gráfico 14">
          <a:extLst>
            <a:ext uri="{FF2B5EF4-FFF2-40B4-BE49-F238E27FC236}">
              <a16:creationId xmlns:a16="http://schemas.microsoft.com/office/drawing/2014/main" id="{08C4964C-A8DE-465A-820F-303A32671E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952500</xdr:colOff>
      <xdr:row>70</xdr:row>
      <xdr:rowOff>88610</xdr:rowOff>
    </xdr:from>
    <xdr:to>
      <xdr:col>14</xdr:col>
      <xdr:colOff>1085850</xdr:colOff>
      <xdr:row>82</xdr:row>
      <xdr:rowOff>194689</xdr:rowOff>
    </xdr:to>
    <xdr:pic>
      <xdr:nvPicPr>
        <xdr:cNvPr id="3" name="Imagen 2">
          <a:extLst>
            <a:ext uri="{FF2B5EF4-FFF2-40B4-BE49-F238E27FC236}">
              <a16:creationId xmlns:a16="http://schemas.microsoft.com/office/drawing/2014/main" id="{F3B6A818-B959-4BBB-8DEE-8F178A0BE0AF}"/>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val="0"/>
            </a:ext>
          </a:extLst>
        </a:blip>
        <a:srcRect/>
        <a:stretch/>
      </xdr:blipFill>
      <xdr:spPr>
        <a:xfrm>
          <a:off x="9229725" y="13442660"/>
          <a:ext cx="6772275" cy="23920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761999</xdr:colOff>
      <xdr:row>18</xdr:row>
      <xdr:rowOff>14286</xdr:rowOff>
    </xdr:from>
    <xdr:to>
      <xdr:col>16</xdr:col>
      <xdr:colOff>752475</xdr:colOff>
      <xdr:row>47</xdr:row>
      <xdr:rowOff>190499</xdr:rowOff>
    </xdr:to>
    <xdr:graphicFrame macro="">
      <xdr:nvGraphicFramePr>
        <xdr:cNvPr id="2" name="Gráfico 1">
          <a:extLst>
            <a:ext uri="{FF2B5EF4-FFF2-40B4-BE49-F238E27FC236}">
              <a16:creationId xmlns:a16="http://schemas.microsoft.com/office/drawing/2014/main" id="{9A512C25-45AF-4595-B04C-EBF043F167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761999</xdr:colOff>
      <xdr:row>68</xdr:row>
      <xdr:rowOff>14286</xdr:rowOff>
    </xdr:from>
    <xdr:to>
      <xdr:col>16</xdr:col>
      <xdr:colOff>752475</xdr:colOff>
      <xdr:row>97</xdr:row>
      <xdr:rowOff>190499</xdr:rowOff>
    </xdr:to>
    <xdr:graphicFrame macro="">
      <xdr:nvGraphicFramePr>
        <xdr:cNvPr id="3" name="Gráfico 2">
          <a:extLst>
            <a:ext uri="{FF2B5EF4-FFF2-40B4-BE49-F238E27FC236}">
              <a16:creationId xmlns:a16="http://schemas.microsoft.com/office/drawing/2014/main" id="{925DBA81-8C7F-4FCD-8DCF-460D8367B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885824</xdr:colOff>
      <xdr:row>104</xdr:row>
      <xdr:rowOff>176212</xdr:rowOff>
    </xdr:from>
    <xdr:to>
      <xdr:col>19</xdr:col>
      <xdr:colOff>114299</xdr:colOff>
      <xdr:row>128</xdr:row>
      <xdr:rowOff>0</xdr:rowOff>
    </xdr:to>
    <xdr:graphicFrame macro="">
      <xdr:nvGraphicFramePr>
        <xdr:cNvPr id="2" name="Gráfico 1">
          <a:extLst>
            <a:ext uri="{FF2B5EF4-FFF2-40B4-BE49-F238E27FC236}">
              <a16:creationId xmlns:a16="http://schemas.microsoft.com/office/drawing/2014/main" id="{41BFECED-BA6D-41D3-B8BD-E0875B9B3C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32</xdr:col>
      <xdr:colOff>885824</xdr:colOff>
      <xdr:row>104</xdr:row>
      <xdr:rowOff>176212</xdr:rowOff>
    </xdr:from>
    <xdr:to>
      <xdr:col>45</xdr:col>
      <xdr:colOff>114299</xdr:colOff>
      <xdr:row>128</xdr:row>
      <xdr:rowOff>0</xdr:rowOff>
    </xdr:to>
    <xdr:graphicFrame macro="">
      <xdr:nvGraphicFramePr>
        <xdr:cNvPr id="3" name="Gráfico 2">
          <a:extLst>
            <a:ext uri="{FF2B5EF4-FFF2-40B4-BE49-F238E27FC236}">
              <a16:creationId xmlns:a16="http://schemas.microsoft.com/office/drawing/2014/main" id="{D7E23186-9612-4E5F-BE0F-051697D41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333375</xdr:colOff>
      <xdr:row>1</xdr:row>
      <xdr:rowOff>76200</xdr:rowOff>
    </xdr:from>
    <xdr:to>
      <xdr:col>16</xdr:col>
      <xdr:colOff>409575</xdr:colOff>
      <xdr:row>36</xdr:row>
      <xdr:rowOff>104775</xdr:rowOff>
    </xdr:to>
    <xdr:grpSp>
      <xdr:nvGrpSpPr>
        <xdr:cNvPr id="4" name="Grupo 3">
          <a:extLst>
            <a:ext uri="{FF2B5EF4-FFF2-40B4-BE49-F238E27FC236}">
              <a16:creationId xmlns:a16="http://schemas.microsoft.com/office/drawing/2014/main" id="{292C6306-FCC5-4DB6-8C2C-72D9B61EA723}"/>
            </a:ext>
          </a:extLst>
        </xdr:cNvPr>
        <xdr:cNvGrpSpPr/>
      </xdr:nvGrpSpPr>
      <xdr:grpSpPr>
        <a:xfrm>
          <a:off x="11287125" y="152400"/>
          <a:ext cx="6934200" cy="6772275"/>
          <a:chOff x="4171950" y="2352675"/>
          <a:chExt cx="11734800" cy="11344275"/>
        </a:xfrm>
      </xdr:grpSpPr>
      <xdr:pic>
        <xdr:nvPicPr>
          <xdr:cNvPr id="2" name="Imagen 1">
            <a:extLst>
              <a:ext uri="{FF2B5EF4-FFF2-40B4-BE49-F238E27FC236}">
                <a16:creationId xmlns:a16="http://schemas.microsoft.com/office/drawing/2014/main" id="{6099985C-DE02-43FB-A23F-E71FB1308A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248150" y="2352675"/>
            <a:ext cx="11534775" cy="5591176"/>
          </a:xfrm>
          <a:prstGeom prst="rect">
            <a:avLst/>
          </a:prstGeom>
        </xdr:spPr>
      </xdr:pic>
      <xdr:pic>
        <xdr:nvPicPr>
          <xdr:cNvPr id="3" name="Imagen 2">
            <a:extLst>
              <a:ext uri="{FF2B5EF4-FFF2-40B4-BE49-F238E27FC236}">
                <a16:creationId xmlns:a16="http://schemas.microsoft.com/office/drawing/2014/main" id="{670D727B-2642-43E4-AE7D-5CB1290CD53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4171950" y="7915275"/>
            <a:ext cx="11734800" cy="5781675"/>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752474</xdr:colOff>
      <xdr:row>1</xdr:row>
      <xdr:rowOff>1</xdr:rowOff>
    </xdr:from>
    <xdr:to>
      <xdr:col>19</xdr:col>
      <xdr:colOff>0</xdr:colOff>
      <xdr:row>21</xdr:row>
      <xdr:rowOff>9525</xdr:rowOff>
    </xdr:to>
    <xdr:graphicFrame macro="">
      <xdr:nvGraphicFramePr>
        <xdr:cNvPr id="2" name="Gráfico 1">
          <a:extLst>
            <a:ext uri="{FF2B5EF4-FFF2-40B4-BE49-F238E27FC236}">
              <a16:creationId xmlns:a16="http://schemas.microsoft.com/office/drawing/2014/main" id="{055CF0F7-D8D8-4E5A-A0FB-F864B72F41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752474</xdr:colOff>
      <xdr:row>25</xdr:row>
      <xdr:rowOff>1</xdr:rowOff>
    </xdr:from>
    <xdr:to>
      <xdr:col>19</xdr:col>
      <xdr:colOff>0</xdr:colOff>
      <xdr:row>45</xdr:row>
      <xdr:rowOff>9525</xdr:rowOff>
    </xdr:to>
    <xdr:graphicFrame macro="">
      <xdr:nvGraphicFramePr>
        <xdr:cNvPr id="8" name="Gráfico 7">
          <a:extLst>
            <a:ext uri="{FF2B5EF4-FFF2-40B4-BE49-F238E27FC236}">
              <a16:creationId xmlns:a16="http://schemas.microsoft.com/office/drawing/2014/main" id="{4E53646F-BB3F-462B-9CDC-1E00DD06B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752474</xdr:colOff>
      <xdr:row>49</xdr:row>
      <xdr:rowOff>1</xdr:rowOff>
    </xdr:from>
    <xdr:to>
      <xdr:col>19</xdr:col>
      <xdr:colOff>0</xdr:colOff>
      <xdr:row>69</xdr:row>
      <xdr:rowOff>9525</xdr:rowOff>
    </xdr:to>
    <xdr:graphicFrame macro="">
      <xdr:nvGraphicFramePr>
        <xdr:cNvPr id="11" name="Gráfico 10">
          <a:extLst>
            <a:ext uri="{FF2B5EF4-FFF2-40B4-BE49-F238E27FC236}">
              <a16:creationId xmlns:a16="http://schemas.microsoft.com/office/drawing/2014/main" id="{19D11250-E595-4E0E-9D30-CD2464E5E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752474</xdr:colOff>
      <xdr:row>1</xdr:row>
      <xdr:rowOff>1</xdr:rowOff>
    </xdr:from>
    <xdr:to>
      <xdr:col>41</xdr:col>
      <xdr:colOff>9525</xdr:colOff>
      <xdr:row>21</xdr:row>
      <xdr:rowOff>9525</xdr:rowOff>
    </xdr:to>
    <xdr:graphicFrame macro="">
      <xdr:nvGraphicFramePr>
        <xdr:cNvPr id="14" name="Gráfico 13">
          <a:extLst>
            <a:ext uri="{FF2B5EF4-FFF2-40B4-BE49-F238E27FC236}">
              <a16:creationId xmlns:a16="http://schemas.microsoft.com/office/drawing/2014/main" id="{F0FFA2B3-93E8-4F97-9E8F-BE39E84B24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752474</xdr:colOff>
      <xdr:row>25</xdr:row>
      <xdr:rowOff>1</xdr:rowOff>
    </xdr:from>
    <xdr:to>
      <xdr:col>41</xdr:col>
      <xdr:colOff>9525</xdr:colOff>
      <xdr:row>45</xdr:row>
      <xdr:rowOff>9525</xdr:rowOff>
    </xdr:to>
    <xdr:graphicFrame macro="">
      <xdr:nvGraphicFramePr>
        <xdr:cNvPr id="17" name="Gráfico 16">
          <a:extLst>
            <a:ext uri="{FF2B5EF4-FFF2-40B4-BE49-F238E27FC236}">
              <a16:creationId xmlns:a16="http://schemas.microsoft.com/office/drawing/2014/main" id="{866366EE-FCF0-4610-8CB5-7BEC9ED159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752474</xdr:colOff>
      <xdr:row>49</xdr:row>
      <xdr:rowOff>1</xdr:rowOff>
    </xdr:from>
    <xdr:to>
      <xdr:col>41</xdr:col>
      <xdr:colOff>9525</xdr:colOff>
      <xdr:row>69</xdr:row>
      <xdr:rowOff>9525</xdr:rowOff>
    </xdr:to>
    <xdr:graphicFrame macro="">
      <xdr:nvGraphicFramePr>
        <xdr:cNvPr id="20" name="Gráfico 19">
          <a:extLst>
            <a:ext uri="{FF2B5EF4-FFF2-40B4-BE49-F238E27FC236}">
              <a16:creationId xmlns:a16="http://schemas.microsoft.com/office/drawing/2014/main" id="{6A8441FF-683B-460F-8C43-82C567D7B5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5"/>
  <sheetViews>
    <sheetView workbookViewId="0">
      <selection activeCell="D4" sqref="D4"/>
    </sheetView>
  </sheetViews>
  <sheetFormatPr baseColWidth="10" defaultRowHeight="15" x14ac:dyDescent="0.25"/>
  <cols>
    <col min="1" max="16384" width="11.42578125" style="253"/>
  </cols>
  <sheetData>
    <row r="2" spans="2:5" x14ac:dyDescent="0.25">
      <c r="B2" s="253" t="s">
        <v>0</v>
      </c>
      <c r="D2" s="242">
        <v>40</v>
      </c>
      <c r="E2" s="253" t="s">
        <v>1</v>
      </c>
    </row>
    <row r="3" spans="2:5" x14ac:dyDescent="0.25">
      <c r="B3" s="253" t="s">
        <v>23</v>
      </c>
      <c r="D3" s="242">
        <v>2024</v>
      </c>
    </row>
    <row r="5" spans="2:5" x14ac:dyDescent="0.25">
      <c r="B5" s="253" t="s">
        <v>491</v>
      </c>
      <c r="D5" s="260">
        <v>0.1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4F3B4-50F8-4D21-98E6-99E5A5D0A3F4}">
  <dimension ref="A2:BB395"/>
  <sheetViews>
    <sheetView topLeftCell="AR105" workbookViewId="0">
      <selection activeCell="BA117" sqref="BA117"/>
    </sheetView>
  </sheetViews>
  <sheetFormatPr baseColWidth="10" defaultRowHeight="15" x14ac:dyDescent="0.25"/>
  <cols>
    <col min="1" max="1" width="45.85546875" bestFit="1" customWidth="1"/>
    <col min="2" max="13" width="3" customWidth="1"/>
    <col min="14" max="14" width="9.42578125" bestFit="1" customWidth="1"/>
    <col min="27" max="28" width="12.7109375" customWidth="1"/>
    <col min="41" max="41" width="13.7109375" bestFit="1" customWidth="1"/>
    <col min="45" max="46" width="11.5703125" bestFit="1" customWidth="1"/>
    <col min="47" max="47" width="11.42578125" customWidth="1"/>
    <col min="48" max="48" width="11" bestFit="1" customWidth="1"/>
    <col min="49" max="49" width="11.5703125" bestFit="1" customWidth="1"/>
    <col min="50" max="50" width="14.85546875" bestFit="1" customWidth="1"/>
    <col min="51" max="53" width="11.5703125" bestFit="1" customWidth="1"/>
    <col min="54" max="54" width="14.140625" bestFit="1" customWidth="1"/>
  </cols>
  <sheetData>
    <row r="2" spans="1:54" x14ac:dyDescent="0.25">
      <c r="A2" s="94" t="s">
        <v>472</v>
      </c>
    </row>
    <row r="3" spans="1:54" s="253" customFormat="1" x14ac:dyDescent="0.25"/>
    <row r="4" spans="1:54" s="249" customFormat="1" ht="45" x14ac:dyDescent="0.25">
      <c r="A4" s="249" t="s">
        <v>394</v>
      </c>
      <c r="B4" s="499" t="s">
        <v>396</v>
      </c>
      <c r="C4" s="499"/>
      <c r="D4" s="499"/>
      <c r="E4" s="499"/>
      <c r="F4" s="499"/>
      <c r="G4" s="499"/>
      <c r="H4" s="499"/>
      <c r="I4" s="499"/>
      <c r="J4" s="499"/>
      <c r="K4" s="499"/>
      <c r="L4" s="499"/>
      <c r="N4" s="249" t="s">
        <v>397</v>
      </c>
      <c r="P4" s="499" t="s">
        <v>410</v>
      </c>
      <c r="Q4" s="499"/>
      <c r="R4" s="499"/>
      <c r="S4" s="499"/>
      <c r="T4" s="499"/>
      <c r="U4" s="499"/>
      <c r="V4" s="499"/>
      <c r="W4" s="499"/>
      <c r="X4" s="499"/>
      <c r="Y4" s="499"/>
      <c r="Z4" s="499"/>
      <c r="AA4" s="249" t="s">
        <v>398</v>
      </c>
    </row>
    <row r="5" spans="1:54" s="253" customFormat="1" x14ac:dyDescent="0.25">
      <c r="A5" s="270"/>
      <c r="B5" s="264">
        <v>0</v>
      </c>
      <c r="C5" s="264">
        <v>1</v>
      </c>
      <c r="D5" s="264">
        <v>2</v>
      </c>
      <c r="E5" s="264">
        <v>3</v>
      </c>
      <c r="F5" s="264">
        <v>4</v>
      </c>
      <c r="G5" s="264">
        <v>5</v>
      </c>
      <c r="H5" s="264">
        <v>6</v>
      </c>
      <c r="I5" s="264">
        <v>7</v>
      </c>
      <c r="J5" s="264">
        <v>8</v>
      </c>
      <c r="K5" s="264">
        <v>9</v>
      </c>
      <c r="L5" s="264">
        <v>10</v>
      </c>
      <c r="M5" s="264"/>
      <c r="P5" s="378" t="s">
        <v>23</v>
      </c>
      <c r="Q5" s="378" t="s">
        <v>399</v>
      </c>
      <c r="R5" s="378" t="s">
        <v>400</v>
      </c>
      <c r="S5" s="378" t="s">
        <v>401</v>
      </c>
      <c r="T5" s="378" t="s">
        <v>403</v>
      </c>
      <c r="U5" s="378" t="s">
        <v>402</v>
      </c>
      <c r="V5" s="378" t="s">
        <v>404</v>
      </c>
      <c r="W5" s="378" t="s">
        <v>405</v>
      </c>
      <c r="X5" s="378" t="s">
        <v>406</v>
      </c>
      <c r="Y5" s="378" t="s">
        <v>407</v>
      </c>
      <c r="Z5" s="378" t="s">
        <v>408</v>
      </c>
      <c r="AC5" s="378" t="s">
        <v>23</v>
      </c>
      <c r="AD5" s="378" t="s">
        <v>399</v>
      </c>
      <c r="AE5" s="378" t="s">
        <v>400</v>
      </c>
      <c r="AF5" s="378" t="s">
        <v>401</v>
      </c>
      <c r="AG5" s="378" t="s">
        <v>403</v>
      </c>
      <c r="AH5" s="378" t="s">
        <v>402</v>
      </c>
      <c r="AI5" s="378" t="s">
        <v>404</v>
      </c>
      <c r="AJ5" s="378" t="s">
        <v>405</v>
      </c>
      <c r="AK5" s="378" t="s">
        <v>406</v>
      </c>
      <c r="AL5" s="378" t="s">
        <v>407</v>
      </c>
      <c r="AM5" s="378" t="s">
        <v>408</v>
      </c>
      <c r="AN5" s="378" t="s">
        <v>385</v>
      </c>
      <c r="AO5" s="378" t="s">
        <v>409</v>
      </c>
      <c r="AS5" s="265" t="s">
        <v>415</v>
      </c>
      <c r="AT5" s="265" t="s">
        <v>476</v>
      </c>
      <c r="AU5" s="265" t="s">
        <v>477</v>
      </c>
      <c r="AV5" s="265" t="s">
        <v>478</v>
      </c>
      <c r="AW5" s="265" t="s">
        <v>455</v>
      </c>
      <c r="AX5" s="265" t="s">
        <v>413</v>
      </c>
      <c r="AY5" s="265" t="s">
        <v>456</v>
      </c>
    </row>
    <row r="6" spans="1:54" s="253" customFormat="1" x14ac:dyDescent="0.25">
      <c r="A6" s="242" t="s">
        <v>610</v>
      </c>
      <c r="B6" s="242">
        <v>1</v>
      </c>
      <c r="C6" s="242">
        <v>0</v>
      </c>
      <c r="D6" s="242">
        <v>0</v>
      </c>
      <c r="E6" s="242">
        <v>0</v>
      </c>
      <c r="F6" s="242">
        <v>0</v>
      </c>
      <c r="G6" s="242">
        <v>0</v>
      </c>
      <c r="H6" s="242">
        <v>0</v>
      </c>
      <c r="I6" s="242">
        <v>0</v>
      </c>
      <c r="J6" s="242">
        <v>0</v>
      </c>
      <c r="K6" s="242">
        <v>0</v>
      </c>
      <c r="L6" s="242">
        <v>0</v>
      </c>
      <c r="M6" s="242">
        <f>SUM(B6:L6)</f>
        <v>1</v>
      </c>
      <c r="N6" s="257">
        <f>'Inv Equipos'!$V$5</f>
        <v>93842.039200000014</v>
      </c>
      <c r="O6" s="257">
        <f>M6*N6</f>
        <v>93842.039200000014</v>
      </c>
      <c r="P6" s="257">
        <f>B6*N6</f>
        <v>93842.039200000014</v>
      </c>
      <c r="Q6" s="257">
        <f t="shared" ref="Q6:Z6" si="0">C6*$N$6</f>
        <v>0</v>
      </c>
      <c r="R6" s="257">
        <f t="shared" si="0"/>
        <v>0</v>
      </c>
      <c r="S6" s="257">
        <f t="shared" si="0"/>
        <v>0</v>
      </c>
      <c r="T6" s="257">
        <f t="shared" si="0"/>
        <v>0</v>
      </c>
      <c r="U6" s="257">
        <f t="shared" si="0"/>
        <v>0</v>
      </c>
      <c r="V6" s="257">
        <f t="shared" si="0"/>
        <v>0</v>
      </c>
      <c r="W6" s="257">
        <f t="shared" si="0"/>
        <v>0</v>
      </c>
      <c r="X6" s="257">
        <f t="shared" si="0"/>
        <v>0</v>
      </c>
      <c r="Y6" s="257">
        <f t="shared" si="0"/>
        <v>0</v>
      </c>
      <c r="Z6" s="257">
        <f t="shared" si="0"/>
        <v>0</v>
      </c>
      <c r="AA6" s="255">
        <v>15</v>
      </c>
      <c r="AB6" s="257">
        <f>IF(AA6=0,0,O6/AA6)</f>
        <v>6256.1359466666672</v>
      </c>
      <c r="AD6" s="257">
        <f>$AB$6</f>
        <v>6256.1359466666672</v>
      </c>
      <c r="AE6" s="257">
        <f t="shared" ref="AE6:AM6" si="1">$AB$6</f>
        <v>6256.1359466666672</v>
      </c>
      <c r="AF6" s="257">
        <f t="shared" si="1"/>
        <v>6256.1359466666672</v>
      </c>
      <c r="AG6" s="257">
        <f t="shared" si="1"/>
        <v>6256.1359466666672</v>
      </c>
      <c r="AH6" s="257">
        <f t="shared" si="1"/>
        <v>6256.1359466666672</v>
      </c>
      <c r="AI6" s="257">
        <f t="shared" si="1"/>
        <v>6256.1359466666672</v>
      </c>
      <c r="AJ6" s="257">
        <f t="shared" si="1"/>
        <v>6256.1359466666672</v>
      </c>
      <c r="AK6" s="257">
        <f t="shared" si="1"/>
        <v>6256.1359466666672</v>
      </c>
      <c r="AL6" s="257">
        <f t="shared" si="1"/>
        <v>6256.1359466666672</v>
      </c>
      <c r="AM6" s="257">
        <f t="shared" si="1"/>
        <v>6256.1359466666672</v>
      </c>
      <c r="AN6" s="257">
        <f>SUM(AD6:AM6)</f>
        <v>62561.359466666683</v>
      </c>
      <c r="AO6" s="257">
        <f>O6-AN6</f>
        <v>31280.679733333331</v>
      </c>
      <c r="AS6" s="253">
        <v>0</v>
      </c>
      <c r="AT6" s="481">
        <f>P77</f>
        <v>10006681.903528612</v>
      </c>
      <c r="AU6" s="257">
        <f>P95+P87</f>
        <v>5660000</v>
      </c>
      <c r="AV6" s="257">
        <f>P94</f>
        <v>1300000</v>
      </c>
      <c r="AW6" s="257">
        <f>SUM(AT6:AV6)</f>
        <v>16966681.903528612</v>
      </c>
      <c r="AX6" s="257">
        <f>AC96</f>
        <v>0</v>
      </c>
      <c r="AY6" s="257">
        <f>AW6-AX6</f>
        <v>16966681.903528612</v>
      </c>
      <c r="BB6" s="481"/>
    </row>
    <row r="7" spans="1:54" s="253" customFormat="1" x14ac:dyDescent="0.25">
      <c r="A7" s="242" t="s">
        <v>610</v>
      </c>
      <c r="B7" s="242">
        <v>0</v>
      </c>
      <c r="C7" s="242">
        <v>1</v>
      </c>
      <c r="D7" s="242">
        <v>0</v>
      </c>
      <c r="E7" s="242">
        <v>0</v>
      </c>
      <c r="F7" s="242">
        <v>0</v>
      </c>
      <c r="G7" s="242">
        <v>0</v>
      </c>
      <c r="H7" s="242">
        <v>0</v>
      </c>
      <c r="I7" s="242">
        <v>0</v>
      </c>
      <c r="J7" s="242">
        <v>0</v>
      </c>
      <c r="K7" s="242">
        <v>0</v>
      </c>
      <c r="L7" s="242">
        <v>0</v>
      </c>
      <c r="M7" s="242">
        <f t="shared" ref="M7:M59" si="2">SUM(B7:L7)</f>
        <v>1</v>
      </c>
      <c r="N7" s="257">
        <f>'Inv Equipos'!$V$5</f>
        <v>93842.039200000014</v>
      </c>
      <c r="O7" s="257">
        <f t="shared" ref="O7:O60" si="3">M7*N7</f>
        <v>93842.039200000014</v>
      </c>
      <c r="P7" s="257">
        <f>B7*$N$7</f>
        <v>0</v>
      </c>
      <c r="Q7" s="257">
        <f t="shared" ref="Q7:Z7" si="4">C7*$N$7</f>
        <v>93842.039200000014</v>
      </c>
      <c r="R7" s="257">
        <f t="shared" si="4"/>
        <v>0</v>
      </c>
      <c r="S7" s="257">
        <f t="shared" si="4"/>
        <v>0</v>
      </c>
      <c r="T7" s="257">
        <f t="shared" si="4"/>
        <v>0</v>
      </c>
      <c r="U7" s="257">
        <f t="shared" si="4"/>
        <v>0</v>
      </c>
      <c r="V7" s="257">
        <f t="shared" si="4"/>
        <v>0</v>
      </c>
      <c r="W7" s="257">
        <f t="shared" si="4"/>
        <v>0</v>
      </c>
      <c r="X7" s="257">
        <f t="shared" si="4"/>
        <v>0</v>
      </c>
      <c r="Y7" s="257">
        <f t="shared" si="4"/>
        <v>0</v>
      </c>
      <c r="Z7" s="257">
        <f t="shared" si="4"/>
        <v>0</v>
      </c>
      <c r="AA7" s="255">
        <v>15</v>
      </c>
      <c r="AB7" s="257">
        <f t="shared" ref="AB7:AB70" si="5">IF(AA7=0,0,O7/AA7)</f>
        <v>6256.1359466666672</v>
      </c>
      <c r="AE7" s="257">
        <f>$AB$7</f>
        <v>6256.1359466666672</v>
      </c>
      <c r="AF7" s="257">
        <f t="shared" ref="AF7:AM7" si="6">$AB$7</f>
        <v>6256.1359466666672</v>
      </c>
      <c r="AG7" s="257">
        <f t="shared" si="6"/>
        <v>6256.1359466666672</v>
      </c>
      <c r="AH7" s="257">
        <f t="shared" si="6"/>
        <v>6256.1359466666672</v>
      </c>
      <c r="AI7" s="257">
        <f t="shared" si="6"/>
        <v>6256.1359466666672</v>
      </c>
      <c r="AJ7" s="257">
        <f t="shared" si="6"/>
        <v>6256.1359466666672</v>
      </c>
      <c r="AK7" s="257">
        <f t="shared" si="6"/>
        <v>6256.1359466666672</v>
      </c>
      <c r="AL7" s="257">
        <f t="shared" si="6"/>
        <v>6256.1359466666672</v>
      </c>
      <c r="AM7" s="257">
        <f t="shared" si="6"/>
        <v>6256.1359466666672</v>
      </c>
      <c r="AN7" s="257">
        <f t="shared" ref="AN7:AN70" si="7">SUM(AD7:AM7)</f>
        <v>56305.223520000014</v>
      </c>
      <c r="AO7" s="257">
        <f t="shared" ref="AO7:AO69" si="8">O7-AN7</f>
        <v>37536.81568</v>
      </c>
      <c r="AS7" s="253">
        <v>1</v>
      </c>
      <c r="AT7" s="257">
        <f>Q77</f>
        <v>137300.43920000002</v>
      </c>
      <c r="AU7" s="257">
        <f>Q95+Q87</f>
        <v>0</v>
      </c>
      <c r="AV7" s="257">
        <f>Q94</f>
        <v>0</v>
      </c>
      <c r="AW7" s="257">
        <f t="shared" ref="AW7:AW16" si="9">SUM(AT7:AV7)</f>
        <v>137300.43920000002</v>
      </c>
      <c r="AX7" s="257">
        <f>AD96</f>
        <v>1755112.1269019074</v>
      </c>
      <c r="AY7" s="257">
        <f>AY6+AW7-AX7</f>
        <v>15348870.215826703</v>
      </c>
      <c r="BB7" s="481"/>
    </row>
    <row r="8" spans="1:54" s="253" customFormat="1" x14ac:dyDescent="0.25">
      <c r="A8" s="242" t="s">
        <v>610</v>
      </c>
      <c r="B8" s="242">
        <v>0</v>
      </c>
      <c r="C8" s="242">
        <v>0</v>
      </c>
      <c r="D8" s="242">
        <v>0</v>
      </c>
      <c r="E8" s="242">
        <v>0</v>
      </c>
      <c r="F8" s="242">
        <v>0</v>
      </c>
      <c r="G8" s="242">
        <v>0</v>
      </c>
      <c r="H8" s="242">
        <v>1</v>
      </c>
      <c r="I8" s="242">
        <v>0</v>
      </c>
      <c r="J8" s="242">
        <v>0</v>
      </c>
      <c r="K8" s="242">
        <v>0</v>
      </c>
      <c r="L8" s="242">
        <v>0</v>
      </c>
      <c r="M8" s="242">
        <f t="shared" si="2"/>
        <v>1</v>
      </c>
      <c r="N8" s="257">
        <f>'Inv Equipos'!$V$5</f>
        <v>93842.039200000014</v>
      </c>
      <c r="O8" s="257">
        <f t="shared" si="3"/>
        <v>93842.039200000014</v>
      </c>
      <c r="P8" s="257">
        <f>B8*$N$8</f>
        <v>0</v>
      </c>
      <c r="Q8" s="257">
        <f t="shared" ref="Q8:Z8" si="10">C8*$N$8</f>
        <v>0</v>
      </c>
      <c r="R8" s="257">
        <f t="shared" si="10"/>
        <v>0</v>
      </c>
      <c r="S8" s="257">
        <f t="shared" si="10"/>
        <v>0</v>
      </c>
      <c r="T8" s="257">
        <f t="shared" si="10"/>
        <v>0</v>
      </c>
      <c r="U8" s="257">
        <f t="shared" si="10"/>
        <v>0</v>
      </c>
      <c r="V8" s="257">
        <f t="shared" si="10"/>
        <v>93842.039200000014</v>
      </c>
      <c r="W8" s="257">
        <f t="shared" si="10"/>
        <v>0</v>
      </c>
      <c r="X8" s="257">
        <f t="shared" si="10"/>
        <v>0</v>
      </c>
      <c r="Y8" s="257">
        <f t="shared" si="10"/>
        <v>0</v>
      </c>
      <c r="Z8" s="257">
        <f t="shared" si="10"/>
        <v>0</v>
      </c>
      <c r="AA8" s="255">
        <v>15</v>
      </c>
      <c r="AB8" s="257">
        <f t="shared" si="5"/>
        <v>6256.1359466666672</v>
      </c>
      <c r="AJ8" s="257">
        <f>$AB$8</f>
        <v>6256.1359466666672</v>
      </c>
      <c r="AK8" s="257">
        <f t="shared" ref="AK8:AM8" si="11">$AB$8</f>
        <v>6256.1359466666672</v>
      </c>
      <c r="AL8" s="257">
        <f t="shared" si="11"/>
        <v>6256.1359466666672</v>
      </c>
      <c r="AM8" s="257">
        <f t="shared" si="11"/>
        <v>6256.1359466666672</v>
      </c>
      <c r="AN8" s="257">
        <f t="shared" si="7"/>
        <v>25024.543786666669</v>
      </c>
      <c r="AO8" s="257">
        <f t="shared" si="8"/>
        <v>68817.495413333352</v>
      </c>
      <c r="AS8" s="253">
        <v>2</v>
      </c>
      <c r="AT8" s="257">
        <f>R77</f>
        <v>0</v>
      </c>
      <c r="AU8" s="257">
        <f>R95+R87</f>
        <v>0</v>
      </c>
      <c r="AV8" s="257">
        <f>R94</f>
        <v>0</v>
      </c>
      <c r="AW8" s="257">
        <f t="shared" si="9"/>
        <v>0</v>
      </c>
      <c r="AX8" s="257">
        <f>AE96</f>
        <v>1764265.4895152408</v>
      </c>
      <c r="AY8" s="257">
        <f t="shared" ref="AY8:AY16" si="12">AY7+AW8-AX8</f>
        <v>13584604.726311462</v>
      </c>
      <c r="BB8" s="481"/>
    </row>
    <row r="9" spans="1:54" s="253" customFormat="1" x14ac:dyDescent="0.25">
      <c r="A9" s="242" t="s">
        <v>611</v>
      </c>
      <c r="B9" s="242">
        <v>1</v>
      </c>
      <c r="C9" s="242">
        <v>0</v>
      </c>
      <c r="D9" s="242">
        <v>0</v>
      </c>
      <c r="E9" s="242">
        <v>0</v>
      </c>
      <c r="F9" s="242">
        <v>0</v>
      </c>
      <c r="G9" s="242">
        <v>0</v>
      </c>
      <c r="H9" s="242">
        <v>0</v>
      </c>
      <c r="I9" s="242">
        <v>0</v>
      </c>
      <c r="J9" s="242">
        <v>0</v>
      </c>
      <c r="K9" s="242">
        <v>0</v>
      </c>
      <c r="L9" s="242">
        <v>0</v>
      </c>
      <c r="M9" s="242">
        <f t="shared" si="2"/>
        <v>1</v>
      </c>
      <c r="N9" s="257">
        <f>'Inv Equipos'!$V$6</f>
        <v>15010.4</v>
      </c>
      <c r="O9" s="257">
        <f t="shared" si="3"/>
        <v>15010.4</v>
      </c>
      <c r="P9" s="257">
        <f>B9*$N$9</f>
        <v>15010.4</v>
      </c>
      <c r="Q9" s="257">
        <f t="shared" ref="Q9:Z9" si="13">C9*$N$9</f>
        <v>0</v>
      </c>
      <c r="R9" s="257">
        <f t="shared" si="13"/>
        <v>0</v>
      </c>
      <c r="S9" s="257">
        <f t="shared" si="13"/>
        <v>0</v>
      </c>
      <c r="T9" s="257">
        <f t="shared" si="13"/>
        <v>0</v>
      </c>
      <c r="U9" s="257">
        <f t="shared" si="13"/>
        <v>0</v>
      </c>
      <c r="V9" s="257">
        <f t="shared" si="13"/>
        <v>0</v>
      </c>
      <c r="W9" s="257">
        <f t="shared" si="13"/>
        <v>0</v>
      </c>
      <c r="X9" s="257">
        <f t="shared" si="13"/>
        <v>0</v>
      </c>
      <c r="Y9" s="257">
        <f t="shared" si="13"/>
        <v>0</v>
      </c>
      <c r="Z9" s="257">
        <f t="shared" si="13"/>
        <v>0</v>
      </c>
      <c r="AA9" s="255">
        <v>15</v>
      </c>
      <c r="AB9" s="257">
        <f t="shared" si="5"/>
        <v>1000.6933333333333</v>
      </c>
      <c r="AD9" s="257">
        <f>$AB$9</f>
        <v>1000.6933333333333</v>
      </c>
      <c r="AE9" s="257">
        <f t="shared" ref="AE9:AM9" si="14">$AB$9</f>
        <v>1000.6933333333333</v>
      </c>
      <c r="AF9" s="257">
        <f t="shared" si="14"/>
        <v>1000.6933333333333</v>
      </c>
      <c r="AG9" s="257">
        <f t="shared" si="14"/>
        <v>1000.6933333333333</v>
      </c>
      <c r="AH9" s="257">
        <f t="shared" si="14"/>
        <v>1000.6933333333333</v>
      </c>
      <c r="AI9" s="257">
        <f t="shared" si="14"/>
        <v>1000.6933333333333</v>
      </c>
      <c r="AJ9" s="257">
        <f t="shared" si="14"/>
        <v>1000.6933333333333</v>
      </c>
      <c r="AK9" s="257">
        <f t="shared" si="14"/>
        <v>1000.6933333333333</v>
      </c>
      <c r="AL9" s="257">
        <f t="shared" si="14"/>
        <v>1000.6933333333333</v>
      </c>
      <c r="AM9" s="257">
        <f t="shared" si="14"/>
        <v>1000.6933333333333</v>
      </c>
      <c r="AN9" s="257">
        <f t="shared" si="7"/>
        <v>10006.933333333332</v>
      </c>
      <c r="AO9" s="257">
        <f t="shared" si="8"/>
        <v>5003.4666666666672</v>
      </c>
      <c r="AS9" s="253">
        <v>3</v>
      </c>
      <c r="AT9" s="257">
        <f>S77</f>
        <v>338384.4</v>
      </c>
      <c r="AU9" s="257">
        <f>S95+S87</f>
        <v>0</v>
      </c>
      <c r="AV9" s="257">
        <f>S94</f>
        <v>0</v>
      </c>
      <c r="AW9" s="257">
        <f t="shared" si="9"/>
        <v>338384.4</v>
      </c>
      <c r="AX9" s="257">
        <f>AF96</f>
        <v>1764265.4895152408</v>
      </c>
      <c r="AY9" s="257">
        <f t="shared" si="12"/>
        <v>12158723.636796221</v>
      </c>
      <c r="BB9" s="481"/>
    </row>
    <row r="10" spans="1:54" s="253" customFormat="1" x14ac:dyDescent="0.25">
      <c r="A10" s="242" t="s">
        <v>611</v>
      </c>
      <c r="B10" s="242">
        <v>0</v>
      </c>
      <c r="C10" s="242">
        <v>1</v>
      </c>
      <c r="D10" s="242">
        <v>0</v>
      </c>
      <c r="E10" s="242">
        <v>0</v>
      </c>
      <c r="F10" s="242">
        <v>0</v>
      </c>
      <c r="G10" s="242">
        <v>0</v>
      </c>
      <c r="H10" s="242">
        <v>0</v>
      </c>
      <c r="I10" s="242">
        <v>0</v>
      </c>
      <c r="J10" s="242">
        <v>0</v>
      </c>
      <c r="K10" s="242">
        <v>0</v>
      </c>
      <c r="L10" s="242">
        <v>0</v>
      </c>
      <c r="M10" s="242">
        <f t="shared" si="2"/>
        <v>1</v>
      </c>
      <c r="N10" s="257">
        <f>'Inv Equipos'!$V$6</f>
        <v>15010.4</v>
      </c>
      <c r="O10" s="257">
        <f t="shared" si="3"/>
        <v>15010.4</v>
      </c>
      <c r="P10" s="257">
        <f>B10*$N$10</f>
        <v>0</v>
      </c>
      <c r="Q10" s="257">
        <f t="shared" ref="Q10:Z10" si="15">C10*$N$10</f>
        <v>15010.4</v>
      </c>
      <c r="R10" s="257">
        <f t="shared" si="15"/>
        <v>0</v>
      </c>
      <c r="S10" s="257">
        <f t="shared" si="15"/>
        <v>0</v>
      </c>
      <c r="T10" s="257">
        <f t="shared" si="15"/>
        <v>0</v>
      </c>
      <c r="U10" s="257">
        <f t="shared" si="15"/>
        <v>0</v>
      </c>
      <c r="V10" s="257">
        <f t="shared" si="15"/>
        <v>0</v>
      </c>
      <c r="W10" s="257">
        <f t="shared" si="15"/>
        <v>0</v>
      </c>
      <c r="X10" s="257">
        <f t="shared" si="15"/>
        <v>0</v>
      </c>
      <c r="Y10" s="257">
        <f t="shared" si="15"/>
        <v>0</v>
      </c>
      <c r="Z10" s="257">
        <f t="shared" si="15"/>
        <v>0</v>
      </c>
      <c r="AA10" s="255">
        <v>15</v>
      </c>
      <c r="AB10" s="257">
        <f t="shared" si="5"/>
        <v>1000.6933333333333</v>
      </c>
      <c r="AE10" s="257">
        <f>$AB$10</f>
        <v>1000.6933333333333</v>
      </c>
      <c r="AF10" s="257">
        <f t="shared" ref="AF10:AM10" si="16">$AB$10</f>
        <v>1000.6933333333333</v>
      </c>
      <c r="AG10" s="257">
        <f t="shared" si="16"/>
        <v>1000.6933333333333</v>
      </c>
      <c r="AH10" s="257">
        <f t="shared" si="16"/>
        <v>1000.6933333333333</v>
      </c>
      <c r="AI10" s="257">
        <f t="shared" si="16"/>
        <v>1000.6933333333333</v>
      </c>
      <c r="AJ10" s="257">
        <f t="shared" si="16"/>
        <v>1000.6933333333333</v>
      </c>
      <c r="AK10" s="257">
        <f t="shared" si="16"/>
        <v>1000.6933333333333</v>
      </c>
      <c r="AL10" s="257">
        <f t="shared" si="16"/>
        <v>1000.6933333333333</v>
      </c>
      <c r="AM10" s="257">
        <f t="shared" si="16"/>
        <v>1000.6933333333333</v>
      </c>
      <c r="AN10" s="257">
        <f t="shared" si="7"/>
        <v>9006.24</v>
      </c>
      <c r="AO10" s="257">
        <f t="shared" si="8"/>
        <v>6004.16</v>
      </c>
      <c r="AS10" s="253">
        <v>4</v>
      </c>
      <c r="AT10" s="257">
        <f>T77</f>
        <v>236428.43932861101</v>
      </c>
      <c r="AU10" s="257">
        <f>T95+T87</f>
        <v>0</v>
      </c>
      <c r="AV10" s="257">
        <f>T94</f>
        <v>0</v>
      </c>
      <c r="AW10" s="257">
        <f t="shared" si="9"/>
        <v>236428.43932861101</v>
      </c>
      <c r="AX10" s="257">
        <f>AG96</f>
        <v>1786824.4495152407</v>
      </c>
      <c r="AY10" s="257">
        <f t="shared" si="12"/>
        <v>10608327.626609592</v>
      </c>
      <c r="BB10" s="481"/>
    </row>
    <row r="11" spans="1:54" s="253" customFormat="1" x14ac:dyDescent="0.25">
      <c r="A11" s="242" t="s">
        <v>611</v>
      </c>
      <c r="B11" s="242">
        <v>0</v>
      </c>
      <c r="C11" s="242">
        <v>0</v>
      </c>
      <c r="D11" s="242">
        <v>0</v>
      </c>
      <c r="E11" s="242">
        <v>0</v>
      </c>
      <c r="F11" s="242">
        <v>0</v>
      </c>
      <c r="G11" s="242">
        <v>0</v>
      </c>
      <c r="H11" s="242">
        <v>1</v>
      </c>
      <c r="I11" s="242">
        <v>0</v>
      </c>
      <c r="J11" s="242">
        <v>0</v>
      </c>
      <c r="K11" s="242">
        <v>0</v>
      </c>
      <c r="L11" s="242">
        <v>0</v>
      </c>
      <c r="M11" s="242">
        <f t="shared" si="2"/>
        <v>1</v>
      </c>
      <c r="N11" s="257">
        <f>'Inv Equipos'!$V$6</f>
        <v>15010.4</v>
      </c>
      <c r="O11" s="257">
        <f t="shared" si="3"/>
        <v>15010.4</v>
      </c>
      <c r="P11" s="257">
        <f>B11*$N$11</f>
        <v>0</v>
      </c>
      <c r="Q11" s="257">
        <f t="shared" ref="Q11:Z11" si="17">C11*$N$11</f>
        <v>0</v>
      </c>
      <c r="R11" s="257">
        <f t="shared" si="17"/>
        <v>0</v>
      </c>
      <c r="S11" s="257">
        <f t="shared" si="17"/>
        <v>0</v>
      </c>
      <c r="T11" s="257">
        <f t="shared" si="17"/>
        <v>0</v>
      </c>
      <c r="U11" s="257">
        <f t="shared" si="17"/>
        <v>0</v>
      </c>
      <c r="V11" s="257">
        <f t="shared" si="17"/>
        <v>15010.4</v>
      </c>
      <c r="W11" s="257">
        <f t="shared" si="17"/>
        <v>0</v>
      </c>
      <c r="X11" s="257">
        <f t="shared" si="17"/>
        <v>0</v>
      </c>
      <c r="Y11" s="257">
        <f t="shared" si="17"/>
        <v>0</v>
      </c>
      <c r="Z11" s="257">
        <f t="shared" si="17"/>
        <v>0</v>
      </c>
      <c r="AA11" s="255">
        <v>15</v>
      </c>
      <c r="AB11" s="257">
        <f t="shared" si="5"/>
        <v>1000.6933333333333</v>
      </c>
      <c r="AJ11" s="257">
        <f>$AB$11</f>
        <v>1000.6933333333333</v>
      </c>
      <c r="AK11" s="257">
        <f t="shared" ref="AK11:AM11" si="18">$AB$11</f>
        <v>1000.6933333333333</v>
      </c>
      <c r="AL11" s="257">
        <f t="shared" si="18"/>
        <v>1000.6933333333333</v>
      </c>
      <c r="AM11" s="257">
        <f t="shared" si="18"/>
        <v>1000.6933333333333</v>
      </c>
      <c r="AN11" s="257">
        <f t="shared" si="7"/>
        <v>4002.7733333333331</v>
      </c>
      <c r="AO11" s="257">
        <f t="shared" si="8"/>
        <v>11007.626666666667</v>
      </c>
      <c r="AS11" s="253">
        <v>5</v>
      </c>
      <c r="AT11" s="257">
        <f>U77</f>
        <v>39875</v>
      </c>
      <c r="AU11" s="257">
        <f>U95+U87</f>
        <v>0</v>
      </c>
      <c r="AV11" s="257">
        <f>U94</f>
        <v>0</v>
      </c>
      <c r="AW11" s="257">
        <f t="shared" si="9"/>
        <v>39875</v>
      </c>
      <c r="AX11" s="257">
        <f>AH96</f>
        <v>1802586.3454704816</v>
      </c>
      <c r="AY11" s="257">
        <f t="shared" si="12"/>
        <v>8845616.2811391093</v>
      </c>
      <c r="BB11" s="481"/>
    </row>
    <row r="12" spans="1:54" s="253" customFormat="1" x14ac:dyDescent="0.25">
      <c r="A12" s="242" t="s">
        <v>612</v>
      </c>
      <c r="B12" s="242">
        <v>2</v>
      </c>
      <c r="C12" s="242">
        <v>0</v>
      </c>
      <c r="D12" s="242">
        <v>0</v>
      </c>
      <c r="E12" s="242">
        <v>0</v>
      </c>
      <c r="F12" s="242">
        <v>0</v>
      </c>
      <c r="G12" s="242">
        <v>0</v>
      </c>
      <c r="H12" s="242">
        <v>0</v>
      </c>
      <c r="I12" s="242">
        <v>0</v>
      </c>
      <c r="J12" s="242">
        <v>0</v>
      </c>
      <c r="K12" s="242">
        <v>0</v>
      </c>
      <c r="L12" s="242">
        <v>0</v>
      </c>
      <c r="M12" s="242">
        <f t="shared" si="2"/>
        <v>2</v>
      </c>
      <c r="N12" s="257">
        <f>'Inv Equipos'!$V$7</f>
        <v>8856.4</v>
      </c>
      <c r="O12" s="257">
        <f t="shared" si="3"/>
        <v>17712.8</v>
      </c>
      <c r="P12" s="257">
        <f>B12*$N$12</f>
        <v>17712.8</v>
      </c>
      <c r="Q12" s="257">
        <f t="shared" ref="Q12:Z12" si="19">C12*$N$12</f>
        <v>0</v>
      </c>
      <c r="R12" s="257">
        <f t="shared" si="19"/>
        <v>0</v>
      </c>
      <c r="S12" s="257">
        <f t="shared" si="19"/>
        <v>0</v>
      </c>
      <c r="T12" s="257">
        <f t="shared" si="19"/>
        <v>0</v>
      </c>
      <c r="U12" s="257">
        <f t="shared" si="19"/>
        <v>0</v>
      </c>
      <c r="V12" s="257">
        <f t="shared" si="19"/>
        <v>0</v>
      </c>
      <c r="W12" s="257">
        <f t="shared" si="19"/>
        <v>0</v>
      </c>
      <c r="X12" s="257">
        <f t="shared" si="19"/>
        <v>0</v>
      </c>
      <c r="Y12" s="257">
        <f t="shared" si="19"/>
        <v>0</v>
      </c>
      <c r="Z12" s="257">
        <f t="shared" si="19"/>
        <v>0</v>
      </c>
      <c r="AA12" s="255">
        <v>15</v>
      </c>
      <c r="AB12" s="257">
        <f t="shared" si="5"/>
        <v>1180.8533333333332</v>
      </c>
      <c r="AD12" s="257">
        <f>$AB$12</f>
        <v>1180.8533333333332</v>
      </c>
      <c r="AE12" s="257">
        <f t="shared" ref="AE12:AM12" si="20">$AB$12</f>
        <v>1180.8533333333332</v>
      </c>
      <c r="AF12" s="257">
        <f t="shared" si="20"/>
        <v>1180.8533333333332</v>
      </c>
      <c r="AG12" s="257">
        <f t="shared" si="20"/>
        <v>1180.8533333333332</v>
      </c>
      <c r="AH12" s="257">
        <f t="shared" si="20"/>
        <v>1180.8533333333332</v>
      </c>
      <c r="AI12" s="257">
        <f t="shared" si="20"/>
        <v>1180.8533333333332</v>
      </c>
      <c r="AJ12" s="257">
        <f t="shared" si="20"/>
        <v>1180.8533333333332</v>
      </c>
      <c r="AK12" s="257">
        <f t="shared" si="20"/>
        <v>1180.8533333333332</v>
      </c>
      <c r="AL12" s="257">
        <f t="shared" si="20"/>
        <v>1180.8533333333332</v>
      </c>
      <c r="AM12" s="257">
        <f t="shared" si="20"/>
        <v>1180.8533333333332</v>
      </c>
      <c r="AN12" s="257">
        <f t="shared" si="7"/>
        <v>11808.533333333331</v>
      </c>
      <c r="AO12" s="257">
        <f t="shared" si="8"/>
        <v>5904.2666666666682</v>
      </c>
      <c r="AS12" s="253">
        <v>6</v>
      </c>
      <c r="AT12" s="257">
        <f>V77</f>
        <v>237300.43920000002</v>
      </c>
      <c r="AU12" s="257">
        <f>V95+V87</f>
        <v>0</v>
      </c>
      <c r="AV12" s="257">
        <f>V94</f>
        <v>0</v>
      </c>
      <c r="AW12" s="257">
        <f t="shared" si="9"/>
        <v>237300.43920000002</v>
      </c>
      <c r="AX12" s="257">
        <f>AI96</f>
        <v>673244.67880381492</v>
      </c>
      <c r="AY12" s="257">
        <f t="shared" si="12"/>
        <v>8409672.0415352955</v>
      </c>
      <c r="BB12" s="481"/>
    </row>
    <row r="13" spans="1:54" s="253" customFormat="1" x14ac:dyDescent="0.25">
      <c r="A13" s="242" t="s">
        <v>612</v>
      </c>
      <c r="B13" s="242">
        <v>0</v>
      </c>
      <c r="C13" s="242">
        <v>2</v>
      </c>
      <c r="D13" s="242">
        <v>0</v>
      </c>
      <c r="E13" s="242">
        <v>0</v>
      </c>
      <c r="F13" s="242">
        <v>0</v>
      </c>
      <c r="G13" s="242">
        <v>0</v>
      </c>
      <c r="H13" s="242">
        <v>0</v>
      </c>
      <c r="I13" s="242">
        <v>0</v>
      </c>
      <c r="J13" s="242">
        <v>0</v>
      </c>
      <c r="K13" s="242">
        <v>0</v>
      </c>
      <c r="L13" s="242">
        <v>0</v>
      </c>
      <c r="M13" s="242">
        <f t="shared" si="2"/>
        <v>2</v>
      </c>
      <c r="N13" s="257">
        <f>'Inv Equipos'!$V$7</f>
        <v>8856.4</v>
      </c>
      <c r="O13" s="257">
        <f t="shared" si="3"/>
        <v>17712.8</v>
      </c>
      <c r="P13" s="257">
        <f>B13*$N$13</f>
        <v>0</v>
      </c>
      <c r="Q13" s="257">
        <f t="shared" ref="Q13:Z13" si="21">C13*$N$13</f>
        <v>17712.8</v>
      </c>
      <c r="R13" s="257">
        <f t="shared" si="21"/>
        <v>0</v>
      </c>
      <c r="S13" s="257">
        <f t="shared" si="21"/>
        <v>0</v>
      </c>
      <c r="T13" s="257">
        <f t="shared" si="21"/>
        <v>0</v>
      </c>
      <c r="U13" s="257">
        <f t="shared" si="21"/>
        <v>0</v>
      </c>
      <c r="V13" s="257">
        <f t="shared" si="21"/>
        <v>0</v>
      </c>
      <c r="W13" s="257">
        <f t="shared" si="21"/>
        <v>0</v>
      </c>
      <c r="X13" s="257">
        <f t="shared" si="21"/>
        <v>0</v>
      </c>
      <c r="Y13" s="257">
        <f t="shared" si="21"/>
        <v>0</v>
      </c>
      <c r="Z13" s="257">
        <f t="shared" si="21"/>
        <v>0</v>
      </c>
      <c r="AA13" s="255">
        <v>15</v>
      </c>
      <c r="AB13" s="257">
        <f t="shared" si="5"/>
        <v>1180.8533333333332</v>
      </c>
      <c r="AE13" s="257">
        <f>$AB$13</f>
        <v>1180.8533333333332</v>
      </c>
      <c r="AF13" s="257">
        <f t="shared" ref="AF13:AM13" si="22">$AB$13</f>
        <v>1180.8533333333332</v>
      </c>
      <c r="AG13" s="257">
        <f t="shared" si="22"/>
        <v>1180.8533333333332</v>
      </c>
      <c r="AH13" s="257">
        <f t="shared" si="22"/>
        <v>1180.8533333333332</v>
      </c>
      <c r="AI13" s="257">
        <f t="shared" si="22"/>
        <v>1180.8533333333332</v>
      </c>
      <c r="AJ13" s="257">
        <f t="shared" si="22"/>
        <v>1180.8533333333332</v>
      </c>
      <c r="AK13" s="257">
        <f t="shared" si="22"/>
        <v>1180.8533333333332</v>
      </c>
      <c r="AL13" s="257">
        <f t="shared" si="22"/>
        <v>1180.8533333333332</v>
      </c>
      <c r="AM13" s="257">
        <f t="shared" si="22"/>
        <v>1180.8533333333332</v>
      </c>
      <c r="AN13" s="257">
        <f t="shared" si="7"/>
        <v>10627.679999999998</v>
      </c>
      <c r="AO13" s="257">
        <f t="shared" si="8"/>
        <v>7085.1200000000008</v>
      </c>
      <c r="AS13" s="253">
        <v>7</v>
      </c>
      <c r="AT13" s="257">
        <f>W77</f>
        <v>0</v>
      </c>
      <c r="AU13" s="257">
        <f>W95+W87</f>
        <v>0</v>
      </c>
      <c r="AV13" s="257">
        <f>W94</f>
        <v>0</v>
      </c>
      <c r="AW13" s="257">
        <f t="shared" si="9"/>
        <v>0</v>
      </c>
      <c r="AX13" s="257">
        <f>AJ96</f>
        <v>682398.0414171482</v>
      </c>
      <c r="AY13" s="257">
        <f t="shared" si="12"/>
        <v>7727274.0001181476</v>
      </c>
      <c r="BB13" s="481"/>
    </row>
    <row r="14" spans="1:54" s="253" customFormat="1" x14ac:dyDescent="0.25">
      <c r="A14" s="242" t="s">
        <v>612</v>
      </c>
      <c r="B14" s="242">
        <v>0</v>
      </c>
      <c r="C14" s="242">
        <v>0</v>
      </c>
      <c r="D14" s="242">
        <v>0</v>
      </c>
      <c r="E14" s="242">
        <v>0</v>
      </c>
      <c r="F14" s="242">
        <v>0</v>
      </c>
      <c r="G14" s="242">
        <v>0</v>
      </c>
      <c r="H14" s="242">
        <v>2</v>
      </c>
      <c r="I14" s="242">
        <v>0</v>
      </c>
      <c r="J14" s="242">
        <v>0</v>
      </c>
      <c r="K14" s="242">
        <v>0</v>
      </c>
      <c r="L14" s="242">
        <v>0</v>
      </c>
      <c r="M14" s="242">
        <f t="shared" si="2"/>
        <v>2</v>
      </c>
      <c r="N14" s="257">
        <f>'Inv Equipos'!$V$7</f>
        <v>8856.4</v>
      </c>
      <c r="O14" s="257">
        <f t="shared" si="3"/>
        <v>17712.8</v>
      </c>
      <c r="P14" s="257">
        <f>B14*$N$14</f>
        <v>0</v>
      </c>
      <c r="Q14" s="257">
        <f t="shared" ref="Q14:Z14" si="23">C14*$N$14</f>
        <v>0</v>
      </c>
      <c r="R14" s="257">
        <f t="shared" si="23"/>
        <v>0</v>
      </c>
      <c r="S14" s="257">
        <f t="shared" si="23"/>
        <v>0</v>
      </c>
      <c r="T14" s="257">
        <f t="shared" si="23"/>
        <v>0</v>
      </c>
      <c r="U14" s="257">
        <f t="shared" si="23"/>
        <v>0</v>
      </c>
      <c r="V14" s="257">
        <f t="shared" si="23"/>
        <v>17712.8</v>
      </c>
      <c r="W14" s="257">
        <f t="shared" si="23"/>
        <v>0</v>
      </c>
      <c r="X14" s="257">
        <f t="shared" si="23"/>
        <v>0</v>
      </c>
      <c r="Y14" s="257">
        <f t="shared" si="23"/>
        <v>0</v>
      </c>
      <c r="Z14" s="257">
        <f t="shared" si="23"/>
        <v>0</v>
      </c>
      <c r="AA14" s="255">
        <v>15</v>
      </c>
      <c r="AB14" s="257">
        <f t="shared" si="5"/>
        <v>1180.8533333333332</v>
      </c>
      <c r="AJ14" s="257">
        <f>$AB$14</f>
        <v>1180.8533333333332</v>
      </c>
      <c r="AK14" s="257">
        <f t="shared" ref="AK14:AM14" si="24">$AB$14</f>
        <v>1180.8533333333332</v>
      </c>
      <c r="AL14" s="257">
        <f t="shared" si="24"/>
        <v>1180.8533333333332</v>
      </c>
      <c r="AM14" s="257">
        <f t="shared" si="24"/>
        <v>1180.8533333333332</v>
      </c>
      <c r="AN14" s="257">
        <f t="shared" si="7"/>
        <v>4723.413333333333</v>
      </c>
      <c r="AO14" s="257">
        <f t="shared" si="8"/>
        <v>12989.386666666665</v>
      </c>
      <c r="AS14" s="253">
        <v>8</v>
      </c>
      <c r="AT14" s="257">
        <f>X77</f>
        <v>0</v>
      </c>
      <c r="AU14" s="257">
        <f>X95+X87</f>
        <v>0</v>
      </c>
      <c r="AV14" s="257">
        <f>X94</f>
        <v>0</v>
      </c>
      <c r="AW14" s="257">
        <f t="shared" si="9"/>
        <v>0</v>
      </c>
      <c r="AX14" s="257">
        <f>AK96</f>
        <v>682398.0414171482</v>
      </c>
      <c r="AY14" s="257">
        <f t="shared" si="12"/>
        <v>7044875.9587009996</v>
      </c>
      <c r="BB14" s="481"/>
    </row>
    <row r="15" spans="1:54" s="253" customFormat="1" x14ac:dyDescent="0.25">
      <c r="A15" s="242" t="s">
        <v>613</v>
      </c>
      <c r="B15" s="242">
        <v>1</v>
      </c>
      <c r="C15" s="242">
        <v>0</v>
      </c>
      <c r="D15" s="242">
        <v>0</v>
      </c>
      <c r="E15" s="242">
        <v>0</v>
      </c>
      <c r="F15" s="242">
        <v>0</v>
      </c>
      <c r="G15" s="242">
        <v>0</v>
      </c>
      <c r="H15" s="242">
        <v>0</v>
      </c>
      <c r="I15" s="242">
        <v>0</v>
      </c>
      <c r="J15" s="242">
        <v>0</v>
      </c>
      <c r="K15" s="242">
        <v>0</v>
      </c>
      <c r="L15" s="242">
        <v>0</v>
      </c>
      <c r="M15" s="242">
        <f t="shared" si="2"/>
        <v>1</v>
      </c>
      <c r="N15" s="257">
        <f>'Inv Equipos'!V8</f>
        <v>20205.8</v>
      </c>
      <c r="O15" s="257">
        <f t="shared" si="3"/>
        <v>20205.8</v>
      </c>
      <c r="P15" s="257">
        <f>B15*$N$15</f>
        <v>20205.8</v>
      </c>
      <c r="Q15" s="257">
        <f t="shared" ref="Q15:Z15" si="25">C15*$N$15</f>
        <v>0</v>
      </c>
      <c r="R15" s="257">
        <f t="shared" si="25"/>
        <v>0</v>
      </c>
      <c r="S15" s="257">
        <f t="shared" si="25"/>
        <v>0</v>
      </c>
      <c r="T15" s="257">
        <f t="shared" si="25"/>
        <v>0</v>
      </c>
      <c r="U15" s="257">
        <f t="shared" si="25"/>
        <v>0</v>
      </c>
      <c r="V15" s="257">
        <f t="shared" si="25"/>
        <v>0</v>
      </c>
      <c r="W15" s="257">
        <f t="shared" si="25"/>
        <v>0</v>
      </c>
      <c r="X15" s="257">
        <f t="shared" si="25"/>
        <v>0</v>
      </c>
      <c r="Y15" s="257">
        <f t="shared" si="25"/>
        <v>0</v>
      </c>
      <c r="Z15" s="257">
        <f t="shared" si="25"/>
        <v>0</v>
      </c>
      <c r="AA15" s="255">
        <v>15</v>
      </c>
      <c r="AB15" s="257">
        <f t="shared" si="5"/>
        <v>1347.0533333333333</v>
      </c>
      <c r="AD15" s="257">
        <f>$AB$15</f>
        <v>1347.0533333333333</v>
      </c>
      <c r="AE15" s="257">
        <f t="shared" ref="AE15:AM15" si="26">$AB$15</f>
        <v>1347.0533333333333</v>
      </c>
      <c r="AF15" s="257">
        <f t="shared" si="26"/>
        <v>1347.0533333333333</v>
      </c>
      <c r="AG15" s="257">
        <f t="shared" si="26"/>
        <v>1347.0533333333333</v>
      </c>
      <c r="AH15" s="257">
        <f t="shared" si="26"/>
        <v>1347.0533333333333</v>
      </c>
      <c r="AI15" s="257">
        <f t="shared" si="26"/>
        <v>1347.0533333333333</v>
      </c>
      <c r="AJ15" s="257">
        <f t="shared" si="26"/>
        <v>1347.0533333333333</v>
      </c>
      <c r="AK15" s="257">
        <f t="shared" si="26"/>
        <v>1347.0533333333333</v>
      </c>
      <c r="AL15" s="257">
        <f t="shared" si="26"/>
        <v>1347.0533333333333</v>
      </c>
      <c r="AM15" s="257">
        <f t="shared" si="26"/>
        <v>1347.0533333333333</v>
      </c>
      <c r="AN15" s="257">
        <f t="shared" si="7"/>
        <v>13470.533333333333</v>
      </c>
      <c r="AO15" s="257">
        <f t="shared" si="8"/>
        <v>6735.2666666666664</v>
      </c>
      <c r="AS15" s="253">
        <v>9</v>
      </c>
      <c r="AT15" s="257">
        <f>Y77</f>
        <v>0</v>
      </c>
      <c r="AU15" s="257">
        <f>Y95+Y87</f>
        <v>0</v>
      </c>
      <c r="AV15" s="257">
        <f>Y94</f>
        <v>0</v>
      </c>
      <c r="AW15" s="257">
        <f t="shared" si="9"/>
        <v>0</v>
      </c>
      <c r="AX15" s="257">
        <f>AL96</f>
        <v>682398.0414171482</v>
      </c>
      <c r="AY15" s="257">
        <f t="shared" si="12"/>
        <v>6362477.9172838517</v>
      </c>
      <c r="BB15" s="481"/>
    </row>
    <row r="16" spans="1:54" s="253" customFormat="1" x14ac:dyDescent="0.25">
      <c r="A16" s="242" t="s">
        <v>614</v>
      </c>
      <c r="B16" s="242">
        <v>3</v>
      </c>
      <c r="C16" s="242">
        <v>0</v>
      </c>
      <c r="D16" s="242">
        <v>0</v>
      </c>
      <c r="E16" s="242">
        <v>0</v>
      </c>
      <c r="F16" s="242">
        <v>0</v>
      </c>
      <c r="G16" s="242">
        <v>0</v>
      </c>
      <c r="H16" s="242">
        <v>0</v>
      </c>
      <c r="I16" s="242">
        <v>0</v>
      </c>
      <c r="J16" s="242">
        <v>0</v>
      </c>
      <c r="K16" s="242">
        <v>0</v>
      </c>
      <c r="L16" s="242">
        <v>0</v>
      </c>
      <c r="M16" s="242">
        <f t="shared" si="2"/>
        <v>3</v>
      </c>
      <c r="N16" s="257">
        <f>'Inv Equipos'!$V$9</f>
        <v>15317</v>
      </c>
      <c r="O16" s="257">
        <f t="shared" si="3"/>
        <v>45951</v>
      </c>
      <c r="P16" s="257">
        <f>B16*$N$16</f>
        <v>45951</v>
      </c>
      <c r="Q16" s="257">
        <f t="shared" ref="Q16:Z16" si="27">C16*$N$16</f>
        <v>0</v>
      </c>
      <c r="R16" s="257">
        <f t="shared" si="27"/>
        <v>0</v>
      </c>
      <c r="S16" s="257">
        <f t="shared" si="27"/>
        <v>0</v>
      </c>
      <c r="T16" s="257">
        <f t="shared" si="27"/>
        <v>0</v>
      </c>
      <c r="U16" s="257">
        <f t="shared" si="27"/>
        <v>0</v>
      </c>
      <c r="V16" s="257">
        <f t="shared" si="27"/>
        <v>0</v>
      </c>
      <c r="W16" s="257">
        <f t="shared" si="27"/>
        <v>0</v>
      </c>
      <c r="X16" s="257">
        <f t="shared" si="27"/>
        <v>0</v>
      </c>
      <c r="Y16" s="257">
        <f t="shared" si="27"/>
        <v>0</v>
      </c>
      <c r="Z16" s="257">
        <f t="shared" si="27"/>
        <v>0</v>
      </c>
      <c r="AA16" s="255">
        <v>15</v>
      </c>
      <c r="AB16" s="257">
        <f t="shared" si="5"/>
        <v>3063.4</v>
      </c>
      <c r="AD16" s="257">
        <f>$AB$16</f>
        <v>3063.4</v>
      </c>
      <c r="AE16" s="257">
        <f t="shared" ref="AE16:AM16" si="28">$AB$16</f>
        <v>3063.4</v>
      </c>
      <c r="AF16" s="257">
        <f t="shared" si="28"/>
        <v>3063.4</v>
      </c>
      <c r="AG16" s="257">
        <f t="shared" si="28"/>
        <v>3063.4</v>
      </c>
      <c r="AH16" s="257">
        <f t="shared" si="28"/>
        <v>3063.4</v>
      </c>
      <c r="AI16" s="257">
        <f t="shared" si="28"/>
        <v>3063.4</v>
      </c>
      <c r="AJ16" s="257">
        <f t="shared" si="28"/>
        <v>3063.4</v>
      </c>
      <c r="AK16" s="257">
        <f t="shared" si="28"/>
        <v>3063.4</v>
      </c>
      <c r="AL16" s="257">
        <f t="shared" si="28"/>
        <v>3063.4</v>
      </c>
      <c r="AM16" s="257">
        <f t="shared" si="28"/>
        <v>3063.4</v>
      </c>
      <c r="AN16" s="257">
        <f t="shared" si="7"/>
        <v>30634.000000000007</v>
      </c>
      <c r="AO16" s="257">
        <f t="shared" si="8"/>
        <v>15316.999999999993</v>
      </c>
      <c r="AS16" s="253">
        <v>10</v>
      </c>
      <c r="AT16" s="257">
        <f>Z77</f>
        <v>0</v>
      </c>
      <c r="AU16" s="257">
        <f>Z95+Z87</f>
        <v>0</v>
      </c>
      <c r="AV16" s="257">
        <f>Z94</f>
        <v>0</v>
      </c>
      <c r="AW16" s="257">
        <f t="shared" si="9"/>
        <v>0</v>
      </c>
      <c r="AX16" s="257">
        <f>AM96</f>
        <v>682398.0414171482</v>
      </c>
      <c r="AY16" s="257">
        <f t="shared" si="12"/>
        <v>5680079.8758667037</v>
      </c>
      <c r="BB16" s="481"/>
    </row>
    <row r="17" spans="1:53" s="253" customFormat="1" x14ac:dyDescent="0.25">
      <c r="A17" s="242" t="s">
        <v>614</v>
      </c>
      <c r="B17" s="242">
        <v>0</v>
      </c>
      <c r="C17" s="242">
        <v>0</v>
      </c>
      <c r="D17" s="242">
        <v>0</v>
      </c>
      <c r="E17" s="242">
        <v>1</v>
      </c>
      <c r="F17" s="242">
        <v>0</v>
      </c>
      <c r="G17" s="242">
        <v>0</v>
      </c>
      <c r="H17" s="242">
        <v>0</v>
      </c>
      <c r="I17" s="242">
        <v>0</v>
      </c>
      <c r="J17" s="242">
        <v>0</v>
      </c>
      <c r="K17" s="242">
        <v>0</v>
      </c>
      <c r="L17" s="242">
        <v>0</v>
      </c>
      <c r="M17" s="242">
        <f t="shared" si="2"/>
        <v>1</v>
      </c>
      <c r="N17" s="257">
        <f>'Inv Equipos'!$V$9</f>
        <v>15317</v>
      </c>
      <c r="O17" s="257">
        <f t="shared" si="3"/>
        <v>15317</v>
      </c>
      <c r="P17" s="257">
        <f>B17*$N$17</f>
        <v>0</v>
      </c>
      <c r="Q17" s="257">
        <f t="shared" ref="Q17:Z17" si="29">C17*$N$17</f>
        <v>0</v>
      </c>
      <c r="R17" s="257">
        <f t="shared" si="29"/>
        <v>0</v>
      </c>
      <c r="S17" s="257">
        <f t="shared" si="29"/>
        <v>15317</v>
      </c>
      <c r="T17" s="257">
        <f t="shared" si="29"/>
        <v>0</v>
      </c>
      <c r="U17" s="257">
        <f t="shared" si="29"/>
        <v>0</v>
      </c>
      <c r="V17" s="257">
        <f t="shared" si="29"/>
        <v>0</v>
      </c>
      <c r="W17" s="257">
        <f t="shared" si="29"/>
        <v>0</v>
      </c>
      <c r="X17" s="257">
        <f t="shared" si="29"/>
        <v>0</v>
      </c>
      <c r="Y17" s="257">
        <f t="shared" si="29"/>
        <v>0</v>
      </c>
      <c r="Z17" s="257">
        <f t="shared" si="29"/>
        <v>0</v>
      </c>
      <c r="AA17" s="255">
        <v>15</v>
      </c>
      <c r="AB17" s="257">
        <f t="shared" si="5"/>
        <v>1021.1333333333333</v>
      </c>
      <c r="AG17" s="257">
        <f>$AB$17</f>
        <v>1021.1333333333333</v>
      </c>
      <c r="AH17" s="257">
        <f t="shared" ref="AH17:AM17" si="30">$AB$17</f>
        <v>1021.1333333333333</v>
      </c>
      <c r="AI17" s="257">
        <f t="shared" si="30"/>
        <v>1021.1333333333333</v>
      </c>
      <c r="AJ17" s="257">
        <f t="shared" si="30"/>
        <v>1021.1333333333333</v>
      </c>
      <c r="AK17" s="257">
        <f t="shared" si="30"/>
        <v>1021.1333333333333</v>
      </c>
      <c r="AL17" s="257">
        <f t="shared" si="30"/>
        <v>1021.1333333333333</v>
      </c>
      <c r="AM17" s="257">
        <f t="shared" si="30"/>
        <v>1021.1333333333333</v>
      </c>
      <c r="AN17" s="257">
        <f t="shared" si="7"/>
        <v>7147.9333333333334</v>
      </c>
      <c r="AO17" s="257">
        <f t="shared" si="8"/>
        <v>8169.0666666666666</v>
      </c>
      <c r="AT17" s="259">
        <f t="shared" ref="AT17:AV17" si="31">SUM(AT6:AT16)</f>
        <v>10995970.621257225</v>
      </c>
      <c r="AU17" s="259">
        <f t="shared" si="31"/>
        <v>5660000</v>
      </c>
      <c r="AV17" s="259">
        <f t="shared" si="31"/>
        <v>1300000</v>
      </c>
      <c r="AW17" s="259">
        <f>SUM(AW6:AW16)</f>
        <v>17955970.621257219</v>
      </c>
      <c r="AX17" s="259">
        <f t="shared" ref="AX17" si="32">SUM(AX6:AX16)</f>
        <v>12275890.745390518</v>
      </c>
      <c r="AY17" s="259"/>
    </row>
    <row r="18" spans="1:53" s="253" customFormat="1" x14ac:dyDescent="0.25">
      <c r="A18" s="242" t="s">
        <v>615</v>
      </c>
      <c r="B18" s="242">
        <v>1</v>
      </c>
      <c r="C18" s="242">
        <v>0</v>
      </c>
      <c r="D18" s="242">
        <v>0</v>
      </c>
      <c r="E18" s="242">
        <v>0</v>
      </c>
      <c r="F18" s="242">
        <v>0</v>
      </c>
      <c r="G18" s="242">
        <v>0</v>
      </c>
      <c r="H18" s="242">
        <v>0</v>
      </c>
      <c r="I18" s="242">
        <v>0</v>
      </c>
      <c r="J18" s="242">
        <v>0</v>
      </c>
      <c r="K18" s="242">
        <v>0</v>
      </c>
      <c r="L18" s="242">
        <v>0</v>
      </c>
      <c r="M18" s="242">
        <f t="shared" si="2"/>
        <v>1</v>
      </c>
      <c r="N18" s="257">
        <f>'Inv Equipos'!$V$10</f>
        <v>81171</v>
      </c>
      <c r="O18" s="257">
        <f t="shared" si="3"/>
        <v>81171</v>
      </c>
      <c r="P18" s="257">
        <f>B18*$N$18</f>
        <v>81171</v>
      </c>
      <c r="Q18" s="257">
        <f t="shared" ref="Q18:Z18" si="33">C18*$N$18</f>
        <v>0</v>
      </c>
      <c r="R18" s="257">
        <f t="shared" si="33"/>
        <v>0</v>
      </c>
      <c r="S18" s="257">
        <f t="shared" si="33"/>
        <v>0</v>
      </c>
      <c r="T18" s="257">
        <f t="shared" si="33"/>
        <v>0</v>
      </c>
      <c r="U18" s="257">
        <f t="shared" si="33"/>
        <v>0</v>
      </c>
      <c r="V18" s="257">
        <f t="shared" si="33"/>
        <v>0</v>
      </c>
      <c r="W18" s="257">
        <f t="shared" si="33"/>
        <v>0</v>
      </c>
      <c r="X18" s="257">
        <f t="shared" si="33"/>
        <v>0</v>
      </c>
      <c r="Y18" s="257">
        <f t="shared" si="33"/>
        <v>0</v>
      </c>
      <c r="Z18" s="257">
        <f t="shared" si="33"/>
        <v>0</v>
      </c>
      <c r="AA18" s="255">
        <v>15</v>
      </c>
      <c r="AB18" s="257">
        <f t="shared" si="5"/>
        <v>5411.4</v>
      </c>
      <c r="AD18" s="257">
        <f>$AB$18</f>
        <v>5411.4</v>
      </c>
      <c r="AE18" s="257">
        <f t="shared" ref="AE18:AM18" si="34">$AB$18</f>
        <v>5411.4</v>
      </c>
      <c r="AF18" s="257">
        <f t="shared" si="34"/>
        <v>5411.4</v>
      </c>
      <c r="AG18" s="257">
        <f t="shared" si="34"/>
        <v>5411.4</v>
      </c>
      <c r="AH18" s="257">
        <f t="shared" si="34"/>
        <v>5411.4</v>
      </c>
      <c r="AI18" s="257">
        <f t="shared" si="34"/>
        <v>5411.4</v>
      </c>
      <c r="AJ18" s="257">
        <f t="shared" si="34"/>
        <v>5411.4</v>
      </c>
      <c r="AK18" s="257">
        <f t="shared" si="34"/>
        <v>5411.4</v>
      </c>
      <c r="AL18" s="257">
        <f t="shared" si="34"/>
        <v>5411.4</v>
      </c>
      <c r="AM18" s="257">
        <f t="shared" si="34"/>
        <v>5411.4</v>
      </c>
      <c r="AN18" s="257">
        <f t="shared" si="7"/>
        <v>54114.000000000007</v>
      </c>
      <c r="AO18" s="257">
        <f t="shared" si="8"/>
        <v>27056.999999999993</v>
      </c>
    </row>
    <row r="19" spans="1:53" s="253" customFormat="1" x14ac:dyDescent="0.25">
      <c r="A19" s="242" t="s">
        <v>615</v>
      </c>
      <c r="B19" s="242">
        <v>0</v>
      </c>
      <c r="C19" s="242">
        <v>0</v>
      </c>
      <c r="D19" s="242">
        <v>0</v>
      </c>
      <c r="E19" s="242">
        <v>1</v>
      </c>
      <c r="F19" s="242">
        <v>0</v>
      </c>
      <c r="G19" s="242">
        <v>0</v>
      </c>
      <c r="H19" s="242">
        <v>0</v>
      </c>
      <c r="I19" s="242">
        <v>0</v>
      </c>
      <c r="J19" s="242">
        <v>0</v>
      </c>
      <c r="K19" s="242">
        <v>0</v>
      </c>
      <c r="L19" s="242">
        <v>0</v>
      </c>
      <c r="M19" s="242">
        <f t="shared" si="2"/>
        <v>1</v>
      </c>
      <c r="N19" s="257">
        <f>'Inv Equipos'!$V$10</f>
        <v>81171</v>
      </c>
      <c r="O19" s="257">
        <f t="shared" si="3"/>
        <v>81171</v>
      </c>
      <c r="P19" s="257">
        <f>B19*$N$19</f>
        <v>0</v>
      </c>
      <c r="Q19" s="257">
        <f t="shared" ref="Q19:Z19" si="35">C19*$N$19</f>
        <v>0</v>
      </c>
      <c r="R19" s="257">
        <f t="shared" si="35"/>
        <v>0</v>
      </c>
      <c r="S19" s="257">
        <f t="shared" si="35"/>
        <v>81171</v>
      </c>
      <c r="T19" s="257">
        <f t="shared" si="35"/>
        <v>0</v>
      </c>
      <c r="U19" s="257">
        <f t="shared" si="35"/>
        <v>0</v>
      </c>
      <c r="V19" s="257">
        <f t="shared" si="35"/>
        <v>0</v>
      </c>
      <c r="W19" s="257">
        <f t="shared" si="35"/>
        <v>0</v>
      </c>
      <c r="X19" s="257">
        <f t="shared" si="35"/>
        <v>0</v>
      </c>
      <c r="Y19" s="257">
        <f t="shared" si="35"/>
        <v>0</v>
      </c>
      <c r="Z19" s="257">
        <f t="shared" si="35"/>
        <v>0</v>
      </c>
      <c r="AA19" s="255">
        <v>15</v>
      </c>
      <c r="AB19" s="257">
        <f t="shared" si="5"/>
        <v>5411.4</v>
      </c>
      <c r="AG19" s="257">
        <f>$AB$19</f>
        <v>5411.4</v>
      </c>
      <c r="AH19" s="257">
        <f t="shared" ref="AH19:AM19" si="36">$AB$19</f>
        <v>5411.4</v>
      </c>
      <c r="AI19" s="257">
        <f t="shared" si="36"/>
        <v>5411.4</v>
      </c>
      <c r="AJ19" s="257">
        <f t="shared" si="36"/>
        <v>5411.4</v>
      </c>
      <c r="AK19" s="257">
        <f t="shared" si="36"/>
        <v>5411.4</v>
      </c>
      <c r="AL19" s="257">
        <f t="shared" si="36"/>
        <v>5411.4</v>
      </c>
      <c r="AM19" s="257">
        <f t="shared" si="36"/>
        <v>5411.4</v>
      </c>
      <c r="AN19" s="257">
        <f t="shared" si="7"/>
        <v>37879.800000000003</v>
      </c>
      <c r="AO19" s="257">
        <f t="shared" si="8"/>
        <v>43291.199999999997</v>
      </c>
    </row>
    <row r="20" spans="1:53" s="253" customFormat="1" x14ac:dyDescent="0.25">
      <c r="A20" s="242" t="s">
        <v>616</v>
      </c>
      <c r="B20" s="242">
        <v>2</v>
      </c>
      <c r="C20" s="242">
        <v>0</v>
      </c>
      <c r="D20" s="242">
        <v>0</v>
      </c>
      <c r="E20" s="242">
        <v>0</v>
      </c>
      <c r="F20" s="242">
        <v>0</v>
      </c>
      <c r="G20" s="242">
        <v>0</v>
      </c>
      <c r="H20" s="242">
        <v>0</v>
      </c>
      <c r="I20" s="242">
        <v>0</v>
      </c>
      <c r="J20" s="242">
        <v>0</v>
      </c>
      <c r="K20" s="242">
        <v>0</v>
      </c>
      <c r="L20" s="242">
        <v>0</v>
      </c>
      <c r="M20" s="242">
        <f t="shared" si="2"/>
        <v>2</v>
      </c>
      <c r="N20" s="257">
        <f>'Inv Equipos'!V11</f>
        <v>120089</v>
      </c>
      <c r="O20" s="257">
        <f t="shared" si="3"/>
        <v>240178</v>
      </c>
      <c r="P20" s="257">
        <f>B20*$N$20</f>
        <v>240178</v>
      </c>
      <c r="Q20" s="257">
        <f t="shared" ref="Q20:Z20" si="37">C20*$N$20</f>
        <v>0</v>
      </c>
      <c r="R20" s="257">
        <f t="shared" si="37"/>
        <v>0</v>
      </c>
      <c r="S20" s="257">
        <f t="shared" si="37"/>
        <v>0</v>
      </c>
      <c r="T20" s="257">
        <f t="shared" si="37"/>
        <v>0</v>
      </c>
      <c r="U20" s="257">
        <f t="shared" si="37"/>
        <v>0</v>
      </c>
      <c r="V20" s="257">
        <f t="shared" si="37"/>
        <v>0</v>
      </c>
      <c r="W20" s="257">
        <f t="shared" si="37"/>
        <v>0</v>
      </c>
      <c r="X20" s="257">
        <f t="shared" si="37"/>
        <v>0</v>
      </c>
      <c r="Y20" s="257">
        <f t="shared" si="37"/>
        <v>0</v>
      </c>
      <c r="Z20" s="257">
        <f t="shared" si="37"/>
        <v>0</v>
      </c>
      <c r="AA20" s="255">
        <v>15</v>
      </c>
      <c r="AB20" s="257">
        <f t="shared" si="5"/>
        <v>16011.866666666667</v>
      </c>
      <c r="AD20" s="257">
        <f>$AB$20</f>
        <v>16011.866666666667</v>
      </c>
      <c r="AE20" s="257">
        <f t="shared" ref="AE20:AM20" si="38">$AB$20</f>
        <v>16011.866666666667</v>
      </c>
      <c r="AF20" s="257">
        <f t="shared" si="38"/>
        <v>16011.866666666667</v>
      </c>
      <c r="AG20" s="257">
        <f t="shared" si="38"/>
        <v>16011.866666666667</v>
      </c>
      <c r="AH20" s="257">
        <f t="shared" si="38"/>
        <v>16011.866666666667</v>
      </c>
      <c r="AI20" s="257">
        <f t="shared" si="38"/>
        <v>16011.866666666667</v>
      </c>
      <c r="AJ20" s="257">
        <f t="shared" si="38"/>
        <v>16011.866666666667</v>
      </c>
      <c r="AK20" s="257">
        <f t="shared" si="38"/>
        <v>16011.866666666667</v>
      </c>
      <c r="AL20" s="257">
        <f t="shared" si="38"/>
        <v>16011.866666666667</v>
      </c>
      <c r="AM20" s="257">
        <f t="shared" si="38"/>
        <v>16011.866666666667</v>
      </c>
      <c r="AN20" s="257">
        <f t="shared" si="7"/>
        <v>160118.66666666666</v>
      </c>
      <c r="AO20" s="257">
        <f t="shared" si="8"/>
        <v>80059.333333333343</v>
      </c>
      <c r="AQ20" s="379"/>
      <c r="AR20" s="379"/>
      <c r="AS20" s="379"/>
      <c r="AT20" s="379"/>
      <c r="AU20" s="379"/>
      <c r="AV20" s="379"/>
      <c r="AW20" s="379"/>
      <c r="AX20" s="379"/>
      <c r="AY20" s="379"/>
      <c r="AZ20" s="379"/>
      <c r="BA20" s="379"/>
    </row>
    <row r="21" spans="1:53" s="253" customFormat="1" x14ac:dyDescent="0.25">
      <c r="A21" s="242" t="s">
        <v>617</v>
      </c>
      <c r="B21" s="242">
        <v>3</v>
      </c>
      <c r="C21" s="242">
        <v>0</v>
      </c>
      <c r="D21" s="242">
        <v>0</v>
      </c>
      <c r="E21" s="242">
        <v>0</v>
      </c>
      <c r="F21" s="242">
        <v>0</v>
      </c>
      <c r="G21" s="242">
        <v>0</v>
      </c>
      <c r="H21" s="242">
        <v>0</v>
      </c>
      <c r="I21" s="242">
        <v>0</v>
      </c>
      <c r="J21" s="242">
        <v>0</v>
      </c>
      <c r="K21" s="242">
        <v>0</v>
      </c>
      <c r="L21" s="242">
        <v>0</v>
      </c>
      <c r="M21" s="242">
        <f t="shared" si="2"/>
        <v>3</v>
      </c>
      <c r="N21" s="257">
        <f>'Inv Equipos'!$V$12</f>
        <v>20436</v>
      </c>
      <c r="O21" s="257">
        <f t="shared" si="3"/>
        <v>61308</v>
      </c>
      <c r="P21" s="257">
        <f>B21*$N$21</f>
        <v>61308</v>
      </c>
      <c r="Q21" s="257">
        <f t="shared" ref="Q21:Z21" si="39">C21*$N$21</f>
        <v>0</v>
      </c>
      <c r="R21" s="257">
        <f t="shared" si="39"/>
        <v>0</v>
      </c>
      <c r="S21" s="257">
        <f t="shared" si="39"/>
        <v>0</v>
      </c>
      <c r="T21" s="257">
        <f t="shared" si="39"/>
        <v>0</v>
      </c>
      <c r="U21" s="257">
        <f t="shared" si="39"/>
        <v>0</v>
      </c>
      <c r="V21" s="257">
        <f t="shared" si="39"/>
        <v>0</v>
      </c>
      <c r="W21" s="257">
        <f t="shared" si="39"/>
        <v>0</v>
      </c>
      <c r="X21" s="257">
        <f t="shared" si="39"/>
        <v>0</v>
      </c>
      <c r="Y21" s="257">
        <f t="shared" si="39"/>
        <v>0</v>
      </c>
      <c r="Z21" s="257">
        <f t="shared" si="39"/>
        <v>0</v>
      </c>
      <c r="AA21" s="255">
        <v>15</v>
      </c>
      <c r="AB21" s="257">
        <f t="shared" si="5"/>
        <v>4087.2</v>
      </c>
      <c r="AD21" s="257">
        <f>$AB$21</f>
        <v>4087.2</v>
      </c>
      <c r="AE21" s="257">
        <f t="shared" ref="AE21:AM21" si="40">$AB$21</f>
        <v>4087.2</v>
      </c>
      <c r="AF21" s="257">
        <f t="shared" si="40"/>
        <v>4087.2</v>
      </c>
      <c r="AG21" s="257">
        <f t="shared" si="40"/>
        <v>4087.2</v>
      </c>
      <c r="AH21" s="257">
        <f t="shared" si="40"/>
        <v>4087.2</v>
      </c>
      <c r="AI21" s="257">
        <f t="shared" si="40"/>
        <v>4087.2</v>
      </c>
      <c r="AJ21" s="257">
        <f t="shared" si="40"/>
        <v>4087.2</v>
      </c>
      <c r="AK21" s="257">
        <f t="shared" si="40"/>
        <v>4087.2</v>
      </c>
      <c r="AL21" s="257">
        <f t="shared" si="40"/>
        <v>4087.2</v>
      </c>
      <c r="AM21" s="257">
        <f t="shared" si="40"/>
        <v>4087.2</v>
      </c>
      <c r="AN21" s="257">
        <f t="shared" si="7"/>
        <v>40872</v>
      </c>
      <c r="AO21" s="257">
        <f t="shared" si="8"/>
        <v>20436</v>
      </c>
      <c r="AQ21" s="257"/>
      <c r="AR21" s="257"/>
      <c r="AS21" s="257"/>
      <c r="AT21" s="257"/>
      <c r="AU21" s="257"/>
      <c r="AV21" s="257"/>
      <c r="AW21" s="257"/>
      <c r="AX21" s="257"/>
      <c r="AY21" s="257"/>
      <c r="AZ21" s="257"/>
      <c r="BA21" s="257"/>
    </row>
    <row r="22" spans="1:53" s="253" customFormat="1" x14ac:dyDescent="0.25">
      <c r="A22" s="242" t="s">
        <v>617</v>
      </c>
      <c r="B22" s="242">
        <v>0</v>
      </c>
      <c r="C22" s="242">
        <v>0</v>
      </c>
      <c r="D22" s="242">
        <v>0</v>
      </c>
      <c r="E22" s="242">
        <v>1</v>
      </c>
      <c r="F22" s="242">
        <v>0</v>
      </c>
      <c r="G22" s="242">
        <v>0</v>
      </c>
      <c r="H22" s="242">
        <v>0</v>
      </c>
      <c r="I22" s="242">
        <v>0</v>
      </c>
      <c r="J22" s="242">
        <v>0</v>
      </c>
      <c r="K22" s="242">
        <v>0</v>
      </c>
      <c r="L22" s="242">
        <v>0</v>
      </c>
      <c r="M22" s="242">
        <f t="shared" si="2"/>
        <v>1</v>
      </c>
      <c r="N22" s="257">
        <f>'Inv Equipos'!$V$12</f>
        <v>20436</v>
      </c>
      <c r="O22" s="257">
        <f t="shared" si="3"/>
        <v>20436</v>
      </c>
      <c r="P22" s="257">
        <f>B22*$N$22</f>
        <v>0</v>
      </c>
      <c r="Q22" s="257">
        <f t="shared" ref="Q22:Z22" si="41">C22*$N$22</f>
        <v>0</v>
      </c>
      <c r="R22" s="257">
        <f t="shared" si="41"/>
        <v>0</v>
      </c>
      <c r="S22" s="257">
        <f t="shared" si="41"/>
        <v>20436</v>
      </c>
      <c r="T22" s="257">
        <f t="shared" si="41"/>
        <v>0</v>
      </c>
      <c r="U22" s="257">
        <f t="shared" si="41"/>
        <v>0</v>
      </c>
      <c r="V22" s="257">
        <f t="shared" si="41"/>
        <v>0</v>
      </c>
      <c r="W22" s="257">
        <f t="shared" si="41"/>
        <v>0</v>
      </c>
      <c r="X22" s="257">
        <f t="shared" si="41"/>
        <v>0</v>
      </c>
      <c r="Y22" s="257">
        <f t="shared" si="41"/>
        <v>0</v>
      </c>
      <c r="Z22" s="257">
        <f t="shared" si="41"/>
        <v>0</v>
      </c>
      <c r="AA22" s="255">
        <v>15</v>
      </c>
      <c r="AB22" s="257">
        <f t="shared" si="5"/>
        <v>1362.4</v>
      </c>
      <c r="AG22" s="257">
        <f>$AB$22</f>
        <v>1362.4</v>
      </c>
      <c r="AH22" s="257">
        <f t="shared" ref="AH22:AM22" si="42">$AB$22</f>
        <v>1362.4</v>
      </c>
      <c r="AI22" s="257">
        <f t="shared" si="42"/>
        <v>1362.4</v>
      </c>
      <c r="AJ22" s="257">
        <f t="shared" si="42"/>
        <v>1362.4</v>
      </c>
      <c r="AK22" s="257">
        <f t="shared" si="42"/>
        <v>1362.4</v>
      </c>
      <c r="AL22" s="257">
        <f t="shared" si="42"/>
        <v>1362.4</v>
      </c>
      <c r="AM22" s="257">
        <f t="shared" si="42"/>
        <v>1362.4</v>
      </c>
      <c r="AN22" s="257">
        <f t="shared" si="7"/>
        <v>9536.7999999999993</v>
      </c>
      <c r="AO22" s="257">
        <f t="shared" si="8"/>
        <v>10899.2</v>
      </c>
      <c r="AQ22" s="257"/>
      <c r="AR22" s="257"/>
      <c r="AS22" s="257"/>
      <c r="AT22" s="257"/>
      <c r="AU22" s="257"/>
      <c r="AV22" s="257"/>
      <c r="AW22" s="257"/>
      <c r="AX22" s="257"/>
      <c r="AY22" s="257"/>
      <c r="AZ22" s="257"/>
      <c r="BA22" s="257"/>
    </row>
    <row r="23" spans="1:53" s="253" customFormat="1" x14ac:dyDescent="0.25">
      <c r="A23" s="242" t="s">
        <v>618</v>
      </c>
      <c r="B23" s="242">
        <v>5</v>
      </c>
      <c r="C23" s="242">
        <v>0</v>
      </c>
      <c r="D23" s="242">
        <v>0</v>
      </c>
      <c r="E23" s="242">
        <v>0</v>
      </c>
      <c r="F23" s="242">
        <v>0</v>
      </c>
      <c r="G23" s="242">
        <v>0</v>
      </c>
      <c r="H23" s="242">
        <v>0</v>
      </c>
      <c r="I23" s="242">
        <v>0</v>
      </c>
      <c r="J23" s="242">
        <v>0</v>
      </c>
      <c r="K23" s="242">
        <v>0</v>
      </c>
      <c r="L23" s="242">
        <v>0</v>
      </c>
      <c r="M23" s="242">
        <f t="shared" si="2"/>
        <v>5</v>
      </c>
      <c r="N23" s="257">
        <f>'Inv Equipos'!$V$13</f>
        <v>38131</v>
      </c>
      <c r="O23" s="257">
        <f t="shared" si="3"/>
        <v>190655</v>
      </c>
      <c r="P23" s="257">
        <f>B23*$N$23</f>
        <v>190655</v>
      </c>
      <c r="Q23" s="257">
        <f t="shared" ref="Q23:Z23" si="43">C23*$N$23</f>
        <v>0</v>
      </c>
      <c r="R23" s="257">
        <f t="shared" si="43"/>
        <v>0</v>
      </c>
      <c r="S23" s="257">
        <f t="shared" si="43"/>
        <v>0</v>
      </c>
      <c r="T23" s="257">
        <f t="shared" si="43"/>
        <v>0</v>
      </c>
      <c r="U23" s="257">
        <f t="shared" si="43"/>
        <v>0</v>
      </c>
      <c r="V23" s="257">
        <f t="shared" si="43"/>
        <v>0</v>
      </c>
      <c r="W23" s="257">
        <f t="shared" si="43"/>
        <v>0</v>
      </c>
      <c r="X23" s="257">
        <f t="shared" si="43"/>
        <v>0</v>
      </c>
      <c r="Y23" s="257">
        <f t="shared" si="43"/>
        <v>0</v>
      </c>
      <c r="Z23" s="257">
        <f t="shared" si="43"/>
        <v>0</v>
      </c>
      <c r="AA23" s="255">
        <v>15</v>
      </c>
      <c r="AB23" s="257">
        <f t="shared" si="5"/>
        <v>12710.333333333334</v>
      </c>
      <c r="AD23" s="257">
        <f>$AB$23</f>
        <v>12710.333333333334</v>
      </c>
      <c r="AE23" s="257">
        <f t="shared" ref="AE23:AM23" si="44">$AB$23</f>
        <v>12710.333333333334</v>
      </c>
      <c r="AF23" s="257">
        <f t="shared" si="44"/>
        <v>12710.333333333334</v>
      </c>
      <c r="AG23" s="257">
        <f t="shared" si="44"/>
        <v>12710.333333333334</v>
      </c>
      <c r="AH23" s="257">
        <f t="shared" si="44"/>
        <v>12710.333333333334</v>
      </c>
      <c r="AI23" s="257">
        <f t="shared" si="44"/>
        <v>12710.333333333334</v>
      </c>
      <c r="AJ23" s="257">
        <f t="shared" si="44"/>
        <v>12710.333333333334</v>
      </c>
      <c r="AK23" s="257">
        <f t="shared" si="44"/>
        <v>12710.333333333334</v>
      </c>
      <c r="AL23" s="257">
        <f t="shared" si="44"/>
        <v>12710.333333333334</v>
      </c>
      <c r="AM23" s="257">
        <f t="shared" si="44"/>
        <v>12710.333333333334</v>
      </c>
      <c r="AN23" s="257">
        <f t="shared" si="7"/>
        <v>127103.33333333331</v>
      </c>
      <c r="AO23" s="257">
        <f t="shared" si="8"/>
        <v>63551.666666666686</v>
      </c>
    </row>
    <row r="24" spans="1:53" s="253" customFormat="1" x14ac:dyDescent="0.25">
      <c r="A24" s="242" t="s">
        <v>618</v>
      </c>
      <c r="B24" s="242">
        <v>0</v>
      </c>
      <c r="C24" s="242">
        <v>0</v>
      </c>
      <c r="D24" s="242">
        <v>0</v>
      </c>
      <c r="E24" s="242">
        <v>2</v>
      </c>
      <c r="F24" s="242">
        <v>0</v>
      </c>
      <c r="G24" s="242">
        <v>0</v>
      </c>
      <c r="H24" s="242">
        <v>0</v>
      </c>
      <c r="I24" s="242">
        <v>0</v>
      </c>
      <c r="J24" s="242">
        <v>0</v>
      </c>
      <c r="K24" s="242">
        <v>0</v>
      </c>
      <c r="L24" s="242">
        <v>0</v>
      </c>
      <c r="M24" s="242">
        <f t="shared" si="2"/>
        <v>2</v>
      </c>
      <c r="N24" s="257">
        <f>'Inv Equipos'!$V$13</f>
        <v>38131</v>
      </c>
      <c r="O24" s="257">
        <f t="shared" si="3"/>
        <v>76262</v>
      </c>
      <c r="P24" s="257">
        <f>B24*$N$24</f>
        <v>0</v>
      </c>
      <c r="Q24" s="257">
        <f t="shared" ref="Q24:Z24" si="45">C24*$N$24</f>
        <v>0</v>
      </c>
      <c r="R24" s="257">
        <f t="shared" si="45"/>
        <v>0</v>
      </c>
      <c r="S24" s="257">
        <f t="shared" si="45"/>
        <v>76262</v>
      </c>
      <c r="T24" s="257">
        <f t="shared" si="45"/>
        <v>0</v>
      </c>
      <c r="U24" s="257">
        <f t="shared" si="45"/>
        <v>0</v>
      </c>
      <c r="V24" s="257">
        <f t="shared" si="45"/>
        <v>0</v>
      </c>
      <c r="W24" s="257">
        <f t="shared" si="45"/>
        <v>0</v>
      </c>
      <c r="X24" s="257">
        <f t="shared" si="45"/>
        <v>0</v>
      </c>
      <c r="Y24" s="257">
        <f t="shared" si="45"/>
        <v>0</v>
      </c>
      <c r="Z24" s="257">
        <f t="shared" si="45"/>
        <v>0</v>
      </c>
      <c r="AA24" s="255">
        <v>15</v>
      </c>
      <c r="AB24" s="257">
        <f t="shared" si="5"/>
        <v>5084.1333333333332</v>
      </c>
      <c r="AG24" s="257">
        <f>$AB$24</f>
        <v>5084.1333333333332</v>
      </c>
      <c r="AH24" s="257">
        <f t="shared" ref="AH24:AM24" si="46">$AB$24</f>
        <v>5084.1333333333332</v>
      </c>
      <c r="AI24" s="257">
        <f t="shared" si="46"/>
        <v>5084.1333333333332</v>
      </c>
      <c r="AJ24" s="257">
        <f t="shared" si="46"/>
        <v>5084.1333333333332</v>
      </c>
      <c r="AK24" s="257">
        <f t="shared" si="46"/>
        <v>5084.1333333333332</v>
      </c>
      <c r="AL24" s="257">
        <f t="shared" si="46"/>
        <v>5084.1333333333332</v>
      </c>
      <c r="AM24" s="257">
        <f t="shared" si="46"/>
        <v>5084.1333333333332</v>
      </c>
      <c r="AN24" s="257">
        <f t="shared" si="7"/>
        <v>35588.933333333327</v>
      </c>
      <c r="AO24" s="257">
        <f t="shared" si="8"/>
        <v>40673.066666666673</v>
      </c>
    </row>
    <row r="25" spans="1:53" s="253" customFormat="1" x14ac:dyDescent="0.25">
      <c r="A25" s="242" t="s">
        <v>619</v>
      </c>
      <c r="B25" s="242">
        <v>1</v>
      </c>
      <c r="C25" s="242">
        <v>0</v>
      </c>
      <c r="D25" s="242">
        <v>0</v>
      </c>
      <c r="E25" s="242">
        <v>0</v>
      </c>
      <c r="F25" s="242">
        <v>0</v>
      </c>
      <c r="G25" s="242">
        <v>0</v>
      </c>
      <c r="H25" s="242">
        <v>0</v>
      </c>
      <c r="I25" s="242">
        <v>0</v>
      </c>
      <c r="J25" s="242">
        <v>0</v>
      </c>
      <c r="K25" s="242">
        <v>0</v>
      </c>
      <c r="L25" s="242">
        <v>0</v>
      </c>
      <c r="M25" s="242">
        <f t="shared" si="2"/>
        <v>1</v>
      </c>
      <c r="N25" s="257">
        <f>'Inv Equipos'!$V$14</f>
        <v>48771.199999999997</v>
      </c>
      <c r="O25" s="257">
        <f t="shared" si="3"/>
        <v>48771.199999999997</v>
      </c>
      <c r="P25" s="257">
        <f>B25*$N$25</f>
        <v>48771.199999999997</v>
      </c>
      <c r="Q25" s="257">
        <f t="shared" ref="Q25:Z25" si="47">C25*$N$25</f>
        <v>0</v>
      </c>
      <c r="R25" s="257">
        <f t="shared" si="47"/>
        <v>0</v>
      </c>
      <c r="S25" s="257">
        <f t="shared" si="47"/>
        <v>0</v>
      </c>
      <c r="T25" s="257">
        <f t="shared" si="47"/>
        <v>0</v>
      </c>
      <c r="U25" s="257">
        <f t="shared" si="47"/>
        <v>0</v>
      </c>
      <c r="V25" s="257">
        <f t="shared" si="47"/>
        <v>0</v>
      </c>
      <c r="W25" s="257">
        <f t="shared" si="47"/>
        <v>0</v>
      </c>
      <c r="X25" s="257">
        <f t="shared" si="47"/>
        <v>0</v>
      </c>
      <c r="Y25" s="257">
        <f t="shared" si="47"/>
        <v>0</v>
      </c>
      <c r="Z25" s="257">
        <f t="shared" si="47"/>
        <v>0</v>
      </c>
      <c r="AA25" s="255">
        <v>15</v>
      </c>
      <c r="AB25" s="257">
        <f t="shared" si="5"/>
        <v>3251.413333333333</v>
      </c>
      <c r="AD25" s="257">
        <f>$AB$25</f>
        <v>3251.413333333333</v>
      </c>
      <c r="AE25" s="257">
        <f t="shared" ref="AE25:AM25" si="48">$AB$25</f>
        <v>3251.413333333333</v>
      </c>
      <c r="AF25" s="257">
        <f t="shared" si="48"/>
        <v>3251.413333333333</v>
      </c>
      <c r="AG25" s="257">
        <f t="shared" si="48"/>
        <v>3251.413333333333</v>
      </c>
      <c r="AH25" s="257">
        <f t="shared" si="48"/>
        <v>3251.413333333333</v>
      </c>
      <c r="AI25" s="257">
        <f t="shared" si="48"/>
        <v>3251.413333333333</v>
      </c>
      <c r="AJ25" s="257">
        <f t="shared" si="48"/>
        <v>3251.413333333333</v>
      </c>
      <c r="AK25" s="257">
        <f t="shared" si="48"/>
        <v>3251.413333333333</v>
      </c>
      <c r="AL25" s="257">
        <f t="shared" si="48"/>
        <v>3251.413333333333</v>
      </c>
      <c r="AM25" s="257">
        <f t="shared" si="48"/>
        <v>3251.413333333333</v>
      </c>
      <c r="AN25" s="257">
        <f t="shared" si="7"/>
        <v>32514.133333333335</v>
      </c>
      <c r="AO25" s="257">
        <f t="shared" si="8"/>
        <v>16257.066666666662</v>
      </c>
    </row>
    <row r="26" spans="1:53" s="253" customFormat="1" x14ac:dyDescent="0.25">
      <c r="A26" s="242" t="s">
        <v>619</v>
      </c>
      <c r="B26" s="242">
        <v>0</v>
      </c>
      <c r="C26" s="242">
        <v>0</v>
      </c>
      <c r="D26" s="242">
        <v>0</v>
      </c>
      <c r="E26" s="242">
        <v>1</v>
      </c>
      <c r="F26" s="242">
        <v>0</v>
      </c>
      <c r="G26" s="242">
        <v>0</v>
      </c>
      <c r="H26" s="242">
        <v>0</v>
      </c>
      <c r="I26" s="242">
        <v>0</v>
      </c>
      <c r="J26" s="242">
        <v>0</v>
      </c>
      <c r="K26" s="242">
        <v>0</v>
      </c>
      <c r="L26" s="242">
        <v>0</v>
      </c>
      <c r="M26" s="242">
        <f t="shared" si="2"/>
        <v>1</v>
      </c>
      <c r="N26" s="257">
        <f>'Inv Equipos'!$V$14</f>
        <v>48771.199999999997</v>
      </c>
      <c r="O26" s="257">
        <f t="shared" si="3"/>
        <v>48771.199999999997</v>
      </c>
      <c r="P26" s="257">
        <f>B26*$N$26</f>
        <v>0</v>
      </c>
      <c r="Q26" s="257">
        <f t="shared" ref="Q26:Z26" si="49">C26*$N$26</f>
        <v>0</v>
      </c>
      <c r="R26" s="257">
        <f t="shared" si="49"/>
        <v>0</v>
      </c>
      <c r="S26" s="257">
        <f t="shared" si="49"/>
        <v>48771.199999999997</v>
      </c>
      <c r="T26" s="257">
        <f t="shared" si="49"/>
        <v>0</v>
      </c>
      <c r="U26" s="257">
        <f t="shared" si="49"/>
        <v>0</v>
      </c>
      <c r="V26" s="257">
        <f t="shared" si="49"/>
        <v>0</v>
      </c>
      <c r="W26" s="257">
        <f t="shared" si="49"/>
        <v>0</v>
      </c>
      <c r="X26" s="257">
        <f t="shared" si="49"/>
        <v>0</v>
      </c>
      <c r="Y26" s="257">
        <f t="shared" si="49"/>
        <v>0</v>
      </c>
      <c r="Z26" s="257">
        <f t="shared" si="49"/>
        <v>0</v>
      </c>
      <c r="AA26" s="255">
        <v>15</v>
      </c>
      <c r="AB26" s="257">
        <f t="shared" si="5"/>
        <v>3251.413333333333</v>
      </c>
      <c r="AG26" s="257">
        <f>$AB$26</f>
        <v>3251.413333333333</v>
      </c>
      <c r="AH26" s="257">
        <f t="shared" ref="AH26:AM26" si="50">$AB$26</f>
        <v>3251.413333333333</v>
      </c>
      <c r="AI26" s="257">
        <f t="shared" si="50"/>
        <v>3251.413333333333</v>
      </c>
      <c r="AJ26" s="257">
        <f t="shared" si="50"/>
        <v>3251.413333333333</v>
      </c>
      <c r="AK26" s="257">
        <f t="shared" si="50"/>
        <v>3251.413333333333</v>
      </c>
      <c r="AL26" s="257">
        <f t="shared" si="50"/>
        <v>3251.413333333333</v>
      </c>
      <c r="AM26" s="257">
        <f t="shared" si="50"/>
        <v>3251.413333333333</v>
      </c>
      <c r="AN26" s="257">
        <f t="shared" si="7"/>
        <v>22759.893333333333</v>
      </c>
      <c r="AO26" s="257">
        <f t="shared" si="8"/>
        <v>26011.306666666664</v>
      </c>
    </row>
    <row r="27" spans="1:53" s="253" customFormat="1" x14ac:dyDescent="0.25">
      <c r="A27" s="242" t="s">
        <v>620</v>
      </c>
      <c r="B27" s="242">
        <v>1</v>
      </c>
      <c r="C27" s="242">
        <v>0</v>
      </c>
      <c r="D27" s="242">
        <v>0</v>
      </c>
      <c r="E27" s="242">
        <v>0</v>
      </c>
      <c r="F27" s="242">
        <v>0</v>
      </c>
      <c r="G27" s="242">
        <v>0</v>
      </c>
      <c r="H27" s="242">
        <v>0</v>
      </c>
      <c r="I27" s="242">
        <v>0</v>
      </c>
      <c r="J27" s="242">
        <v>0</v>
      </c>
      <c r="K27" s="242">
        <v>0</v>
      </c>
      <c r="L27" s="242">
        <v>0</v>
      </c>
      <c r="M27" s="242">
        <f t="shared" si="2"/>
        <v>1</v>
      </c>
      <c r="N27" s="257">
        <f>'Inv Equipos'!V15</f>
        <v>49749</v>
      </c>
      <c r="O27" s="257">
        <f t="shared" si="3"/>
        <v>49749</v>
      </c>
      <c r="P27" s="257">
        <f>B27*$N$27</f>
        <v>49749</v>
      </c>
      <c r="Q27" s="257">
        <f t="shared" ref="Q27:Z27" si="51">C27*$N$27</f>
        <v>0</v>
      </c>
      <c r="R27" s="257">
        <f t="shared" si="51"/>
        <v>0</v>
      </c>
      <c r="S27" s="257">
        <f t="shared" si="51"/>
        <v>0</v>
      </c>
      <c r="T27" s="257">
        <f t="shared" si="51"/>
        <v>0</v>
      </c>
      <c r="U27" s="257">
        <f t="shared" si="51"/>
        <v>0</v>
      </c>
      <c r="V27" s="257">
        <f t="shared" si="51"/>
        <v>0</v>
      </c>
      <c r="W27" s="257">
        <f t="shared" si="51"/>
        <v>0</v>
      </c>
      <c r="X27" s="257">
        <f t="shared" si="51"/>
        <v>0</v>
      </c>
      <c r="Y27" s="257">
        <f t="shared" si="51"/>
        <v>0</v>
      </c>
      <c r="Z27" s="257">
        <f t="shared" si="51"/>
        <v>0</v>
      </c>
      <c r="AA27" s="255">
        <v>15</v>
      </c>
      <c r="AB27" s="257">
        <f t="shared" si="5"/>
        <v>3316.6</v>
      </c>
      <c r="AD27" s="257">
        <f>$AB$27</f>
        <v>3316.6</v>
      </c>
      <c r="AE27" s="257">
        <f t="shared" ref="AE27:AM27" si="52">$AB$27</f>
        <v>3316.6</v>
      </c>
      <c r="AF27" s="257">
        <f t="shared" si="52"/>
        <v>3316.6</v>
      </c>
      <c r="AG27" s="257">
        <f t="shared" si="52"/>
        <v>3316.6</v>
      </c>
      <c r="AH27" s="257">
        <f t="shared" si="52"/>
        <v>3316.6</v>
      </c>
      <c r="AI27" s="257">
        <f t="shared" si="52"/>
        <v>3316.6</v>
      </c>
      <c r="AJ27" s="257">
        <f t="shared" si="52"/>
        <v>3316.6</v>
      </c>
      <c r="AK27" s="257">
        <f t="shared" si="52"/>
        <v>3316.6</v>
      </c>
      <c r="AL27" s="257">
        <f t="shared" si="52"/>
        <v>3316.6</v>
      </c>
      <c r="AM27" s="257">
        <f t="shared" si="52"/>
        <v>3316.6</v>
      </c>
      <c r="AN27" s="257">
        <f t="shared" si="7"/>
        <v>33165.999999999993</v>
      </c>
      <c r="AO27" s="257">
        <f t="shared" si="8"/>
        <v>16583.000000000007</v>
      </c>
    </row>
    <row r="28" spans="1:53" s="253" customFormat="1" x14ac:dyDescent="0.25">
      <c r="A28" s="242" t="s">
        <v>621</v>
      </c>
      <c r="B28" s="242">
        <v>2</v>
      </c>
      <c r="C28" s="242">
        <v>0</v>
      </c>
      <c r="D28" s="242">
        <v>0</v>
      </c>
      <c r="E28" s="242">
        <v>0</v>
      </c>
      <c r="F28" s="242">
        <v>0</v>
      </c>
      <c r="G28" s="242">
        <v>0</v>
      </c>
      <c r="H28" s="242">
        <v>0</v>
      </c>
      <c r="I28" s="242">
        <v>0</v>
      </c>
      <c r="J28" s="242">
        <v>0</v>
      </c>
      <c r="K28" s="242">
        <v>0</v>
      </c>
      <c r="L28" s="242">
        <v>0</v>
      </c>
      <c r="M28" s="242">
        <f t="shared" si="2"/>
        <v>2</v>
      </c>
      <c r="N28" s="257">
        <f>'Inv Equipos'!$V$16</f>
        <v>40796</v>
      </c>
      <c r="O28" s="257">
        <f t="shared" si="3"/>
        <v>81592</v>
      </c>
      <c r="P28" s="257">
        <f>B28*$N$28</f>
        <v>81592</v>
      </c>
      <c r="Q28" s="257">
        <f t="shared" ref="Q28:Z28" si="53">C28*$N$28</f>
        <v>0</v>
      </c>
      <c r="R28" s="257">
        <f t="shared" si="53"/>
        <v>0</v>
      </c>
      <c r="S28" s="257">
        <f t="shared" si="53"/>
        <v>0</v>
      </c>
      <c r="T28" s="257">
        <f t="shared" si="53"/>
        <v>0</v>
      </c>
      <c r="U28" s="257">
        <f t="shared" si="53"/>
        <v>0</v>
      </c>
      <c r="V28" s="257">
        <f t="shared" si="53"/>
        <v>0</v>
      </c>
      <c r="W28" s="257">
        <f t="shared" si="53"/>
        <v>0</v>
      </c>
      <c r="X28" s="257">
        <f t="shared" si="53"/>
        <v>0</v>
      </c>
      <c r="Y28" s="257">
        <f t="shared" si="53"/>
        <v>0</v>
      </c>
      <c r="Z28" s="257">
        <f t="shared" si="53"/>
        <v>0</v>
      </c>
      <c r="AA28" s="255">
        <v>15</v>
      </c>
      <c r="AB28" s="257">
        <f t="shared" si="5"/>
        <v>5439.4666666666662</v>
      </c>
      <c r="AD28" s="257">
        <f>$AB$28</f>
        <v>5439.4666666666662</v>
      </c>
      <c r="AE28" s="257">
        <f t="shared" ref="AE28:AM28" si="54">$AB$28</f>
        <v>5439.4666666666662</v>
      </c>
      <c r="AF28" s="257">
        <f t="shared" si="54"/>
        <v>5439.4666666666662</v>
      </c>
      <c r="AG28" s="257">
        <f t="shared" si="54"/>
        <v>5439.4666666666662</v>
      </c>
      <c r="AH28" s="257">
        <f t="shared" si="54"/>
        <v>5439.4666666666662</v>
      </c>
      <c r="AI28" s="257">
        <f t="shared" si="54"/>
        <v>5439.4666666666662</v>
      </c>
      <c r="AJ28" s="257">
        <f t="shared" si="54"/>
        <v>5439.4666666666662</v>
      </c>
      <c r="AK28" s="257">
        <f t="shared" si="54"/>
        <v>5439.4666666666662</v>
      </c>
      <c r="AL28" s="257">
        <f t="shared" si="54"/>
        <v>5439.4666666666662</v>
      </c>
      <c r="AM28" s="257">
        <f t="shared" si="54"/>
        <v>5439.4666666666662</v>
      </c>
      <c r="AN28" s="257">
        <f t="shared" si="7"/>
        <v>54394.666666666664</v>
      </c>
      <c r="AO28" s="257">
        <f t="shared" si="8"/>
        <v>27197.333333333336</v>
      </c>
    </row>
    <row r="29" spans="1:53" s="253" customFormat="1" x14ac:dyDescent="0.25">
      <c r="A29" s="242" t="s">
        <v>621</v>
      </c>
      <c r="B29" s="242">
        <v>0</v>
      </c>
      <c r="C29" s="242">
        <v>0</v>
      </c>
      <c r="D29" s="242">
        <v>0</v>
      </c>
      <c r="E29" s="242">
        <v>1</v>
      </c>
      <c r="F29" s="242">
        <v>0</v>
      </c>
      <c r="G29" s="242">
        <v>0</v>
      </c>
      <c r="H29" s="242">
        <v>0</v>
      </c>
      <c r="I29" s="242">
        <v>0</v>
      </c>
      <c r="J29" s="242">
        <v>0</v>
      </c>
      <c r="K29" s="242">
        <v>0</v>
      </c>
      <c r="L29" s="242">
        <v>0</v>
      </c>
      <c r="M29" s="242">
        <f t="shared" si="2"/>
        <v>1</v>
      </c>
      <c r="N29" s="257">
        <f>'Inv Equipos'!$V$16</f>
        <v>40796</v>
      </c>
      <c r="O29" s="257">
        <f t="shared" si="3"/>
        <v>40796</v>
      </c>
      <c r="P29" s="257">
        <f>B29*$N$29</f>
        <v>0</v>
      </c>
      <c r="Q29" s="257">
        <f t="shared" ref="Q29:Z29" si="55">C29*$N$29</f>
        <v>0</v>
      </c>
      <c r="R29" s="257">
        <f t="shared" si="55"/>
        <v>0</v>
      </c>
      <c r="S29" s="257">
        <f t="shared" si="55"/>
        <v>40796</v>
      </c>
      <c r="T29" s="257">
        <f t="shared" si="55"/>
        <v>0</v>
      </c>
      <c r="U29" s="257">
        <f t="shared" si="55"/>
        <v>0</v>
      </c>
      <c r="V29" s="257">
        <f t="shared" si="55"/>
        <v>0</v>
      </c>
      <c r="W29" s="257">
        <f t="shared" si="55"/>
        <v>0</v>
      </c>
      <c r="X29" s="257">
        <f t="shared" si="55"/>
        <v>0</v>
      </c>
      <c r="Y29" s="257">
        <f t="shared" si="55"/>
        <v>0</v>
      </c>
      <c r="Z29" s="257">
        <f t="shared" si="55"/>
        <v>0</v>
      </c>
      <c r="AA29" s="255">
        <v>15</v>
      </c>
      <c r="AB29" s="257">
        <f t="shared" si="5"/>
        <v>2719.7333333333331</v>
      </c>
      <c r="AG29" s="257">
        <f>$AB$29</f>
        <v>2719.7333333333331</v>
      </c>
      <c r="AH29" s="257">
        <f t="shared" ref="AH29:AM29" si="56">$AB$29</f>
        <v>2719.7333333333331</v>
      </c>
      <c r="AI29" s="257">
        <f t="shared" si="56"/>
        <v>2719.7333333333331</v>
      </c>
      <c r="AJ29" s="257">
        <f t="shared" si="56"/>
        <v>2719.7333333333331</v>
      </c>
      <c r="AK29" s="257">
        <f t="shared" si="56"/>
        <v>2719.7333333333331</v>
      </c>
      <c r="AL29" s="257">
        <f t="shared" si="56"/>
        <v>2719.7333333333331</v>
      </c>
      <c r="AM29" s="257">
        <f t="shared" si="56"/>
        <v>2719.7333333333331</v>
      </c>
      <c r="AN29" s="257">
        <f t="shared" si="7"/>
        <v>19038.133333333331</v>
      </c>
      <c r="AO29" s="257">
        <f t="shared" si="8"/>
        <v>21757.866666666669</v>
      </c>
    </row>
    <row r="30" spans="1:53" s="253" customFormat="1" x14ac:dyDescent="0.25">
      <c r="A30" s="242" t="s">
        <v>622</v>
      </c>
      <c r="B30" s="242">
        <v>2</v>
      </c>
      <c r="C30" s="242">
        <v>0</v>
      </c>
      <c r="D30" s="242">
        <v>0</v>
      </c>
      <c r="E30" s="242">
        <v>0</v>
      </c>
      <c r="F30" s="242">
        <v>0</v>
      </c>
      <c r="G30" s="242">
        <v>0</v>
      </c>
      <c r="H30" s="242">
        <v>0</v>
      </c>
      <c r="I30" s="242">
        <v>0</v>
      </c>
      <c r="J30" s="242">
        <v>0</v>
      </c>
      <c r="K30" s="242">
        <v>0</v>
      </c>
      <c r="L30" s="242">
        <v>0</v>
      </c>
      <c r="M30" s="242">
        <f t="shared" si="2"/>
        <v>2</v>
      </c>
      <c r="N30" s="257">
        <f>'Inv Equipos'!$V$17</f>
        <v>38361.200000000004</v>
      </c>
      <c r="O30" s="257">
        <f t="shared" si="3"/>
        <v>76722.400000000009</v>
      </c>
      <c r="P30" s="257">
        <f>B30*$N$30</f>
        <v>76722.400000000009</v>
      </c>
      <c r="Q30" s="257">
        <f t="shared" ref="Q30:Z30" si="57">C30*$N$30</f>
        <v>0</v>
      </c>
      <c r="R30" s="257">
        <f t="shared" si="57"/>
        <v>0</v>
      </c>
      <c r="S30" s="257">
        <f t="shared" si="57"/>
        <v>0</v>
      </c>
      <c r="T30" s="257">
        <f t="shared" si="57"/>
        <v>0</v>
      </c>
      <c r="U30" s="257">
        <f t="shared" si="57"/>
        <v>0</v>
      </c>
      <c r="V30" s="257">
        <f t="shared" si="57"/>
        <v>0</v>
      </c>
      <c r="W30" s="257">
        <f t="shared" si="57"/>
        <v>0</v>
      </c>
      <c r="X30" s="257">
        <f t="shared" si="57"/>
        <v>0</v>
      </c>
      <c r="Y30" s="257">
        <f t="shared" si="57"/>
        <v>0</v>
      </c>
      <c r="Z30" s="257">
        <f t="shared" si="57"/>
        <v>0</v>
      </c>
      <c r="AA30" s="255">
        <v>15</v>
      </c>
      <c r="AB30" s="257">
        <f t="shared" si="5"/>
        <v>5114.8266666666668</v>
      </c>
      <c r="AD30" s="257">
        <f>$AB$30</f>
        <v>5114.8266666666668</v>
      </c>
      <c r="AE30" s="257">
        <f t="shared" ref="AE30:AM30" si="58">$AB$30</f>
        <v>5114.8266666666668</v>
      </c>
      <c r="AF30" s="257">
        <f t="shared" si="58"/>
        <v>5114.8266666666668</v>
      </c>
      <c r="AG30" s="257">
        <f t="shared" si="58"/>
        <v>5114.8266666666668</v>
      </c>
      <c r="AH30" s="257">
        <f t="shared" si="58"/>
        <v>5114.8266666666668</v>
      </c>
      <c r="AI30" s="257">
        <f t="shared" si="58"/>
        <v>5114.8266666666668</v>
      </c>
      <c r="AJ30" s="257">
        <f t="shared" si="58"/>
        <v>5114.8266666666668</v>
      </c>
      <c r="AK30" s="257">
        <f t="shared" si="58"/>
        <v>5114.8266666666668</v>
      </c>
      <c r="AL30" s="257">
        <f t="shared" si="58"/>
        <v>5114.8266666666668</v>
      </c>
      <c r="AM30" s="257">
        <f t="shared" si="58"/>
        <v>5114.8266666666668</v>
      </c>
      <c r="AN30" s="257">
        <f t="shared" si="7"/>
        <v>51148.26666666667</v>
      </c>
      <c r="AO30" s="257">
        <f t="shared" si="8"/>
        <v>25574.133333333339</v>
      </c>
    </row>
    <row r="31" spans="1:53" s="253" customFormat="1" x14ac:dyDescent="0.25">
      <c r="A31" s="242" t="s">
        <v>622</v>
      </c>
      <c r="B31" s="242">
        <v>0</v>
      </c>
      <c r="C31" s="242">
        <v>0</v>
      </c>
      <c r="D31" s="242">
        <v>0</v>
      </c>
      <c r="E31" s="242">
        <v>1</v>
      </c>
      <c r="F31" s="242">
        <v>0</v>
      </c>
      <c r="G31" s="242">
        <v>0</v>
      </c>
      <c r="H31" s="242">
        <v>0</v>
      </c>
      <c r="I31" s="242">
        <v>0</v>
      </c>
      <c r="J31" s="242">
        <v>0</v>
      </c>
      <c r="K31" s="242">
        <v>0</v>
      </c>
      <c r="L31" s="242">
        <v>0</v>
      </c>
      <c r="M31" s="242">
        <f t="shared" si="2"/>
        <v>1</v>
      </c>
      <c r="N31" s="257">
        <f>'Inv Equipos'!$V$17</f>
        <v>38361.200000000004</v>
      </c>
      <c r="O31" s="257">
        <f t="shared" si="3"/>
        <v>38361.200000000004</v>
      </c>
      <c r="P31" s="257">
        <f>B31*$N$31</f>
        <v>0</v>
      </c>
      <c r="Q31" s="257">
        <f t="shared" ref="Q31:Z31" si="59">C31*$N$31</f>
        <v>0</v>
      </c>
      <c r="R31" s="257">
        <f t="shared" si="59"/>
        <v>0</v>
      </c>
      <c r="S31" s="257">
        <f t="shared" si="59"/>
        <v>38361.200000000004</v>
      </c>
      <c r="T31" s="257">
        <f t="shared" si="59"/>
        <v>0</v>
      </c>
      <c r="U31" s="257">
        <f t="shared" si="59"/>
        <v>0</v>
      </c>
      <c r="V31" s="257">
        <f t="shared" si="59"/>
        <v>0</v>
      </c>
      <c r="W31" s="257">
        <f t="shared" si="59"/>
        <v>0</v>
      </c>
      <c r="X31" s="257">
        <f t="shared" si="59"/>
        <v>0</v>
      </c>
      <c r="Y31" s="257">
        <f t="shared" si="59"/>
        <v>0</v>
      </c>
      <c r="Z31" s="257">
        <f t="shared" si="59"/>
        <v>0</v>
      </c>
      <c r="AA31" s="255">
        <v>15</v>
      </c>
      <c r="AB31" s="257">
        <f t="shared" si="5"/>
        <v>2557.4133333333334</v>
      </c>
      <c r="AG31" s="257">
        <f>$AB$31</f>
        <v>2557.4133333333334</v>
      </c>
      <c r="AH31" s="257">
        <f t="shared" ref="AH31:AM31" si="60">$AB$31</f>
        <v>2557.4133333333334</v>
      </c>
      <c r="AI31" s="257">
        <f t="shared" si="60"/>
        <v>2557.4133333333334</v>
      </c>
      <c r="AJ31" s="257">
        <f t="shared" si="60"/>
        <v>2557.4133333333334</v>
      </c>
      <c r="AK31" s="257">
        <f t="shared" si="60"/>
        <v>2557.4133333333334</v>
      </c>
      <c r="AL31" s="257">
        <f t="shared" si="60"/>
        <v>2557.4133333333334</v>
      </c>
      <c r="AM31" s="257">
        <f t="shared" si="60"/>
        <v>2557.4133333333334</v>
      </c>
      <c r="AN31" s="257">
        <f t="shared" si="7"/>
        <v>17901.893333333333</v>
      </c>
      <c r="AO31" s="257">
        <f t="shared" si="8"/>
        <v>20459.306666666671</v>
      </c>
    </row>
    <row r="32" spans="1:53" s="253" customFormat="1" x14ac:dyDescent="0.25">
      <c r="A32" s="242" t="s">
        <v>623</v>
      </c>
      <c r="B32" s="242">
        <v>1</v>
      </c>
      <c r="C32" s="242">
        <v>0</v>
      </c>
      <c r="D32" s="242">
        <v>0</v>
      </c>
      <c r="E32" s="242">
        <v>0</v>
      </c>
      <c r="F32" s="242">
        <v>0</v>
      </c>
      <c r="G32" s="242">
        <v>0</v>
      </c>
      <c r="H32" s="242">
        <v>0</v>
      </c>
      <c r="I32" s="242">
        <v>0</v>
      </c>
      <c r="J32" s="242">
        <v>0</v>
      </c>
      <c r="K32" s="242">
        <v>0</v>
      </c>
      <c r="L32" s="242">
        <v>0</v>
      </c>
      <c r="M32" s="242">
        <f t="shared" si="2"/>
        <v>1</v>
      </c>
      <c r="N32" s="257">
        <f>'Inv Equipos'!$V$18</f>
        <v>10735.199999999999</v>
      </c>
      <c r="O32" s="257">
        <f t="shared" si="3"/>
        <v>10735.199999999999</v>
      </c>
      <c r="P32" s="257">
        <f>B32*$N$32</f>
        <v>10735.199999999999</v>
      </c>
      <c r="Q32" s="257">
        <f t="shared" ref="Q32:Z32" si="61">C32*$N$32</f>
        <v>0</v>
      </c>
      <c r="R32" s="257">
        <f t="shared" si="61"/>
        <v>0</v>
      </c>
      <c r="S32" s="257">
        <f t="shared" si="61"/>
        <v>0</v>
      </c>
      <c r="T32" s="257">
        <f t="shared" si="61"/>
        <v>0</v>
      </c>
      <c r="U32" s="257">
        <f t="shared" si="61"/>
        <v>0</v>
      </c>
      <c r="V32" s="257">
        <f t="shared" si="61"/>
        <v>0</v>
      </c>
      <c r="W32" s="257">
        <f t="shared" si="61"/>
        <v>0</v>
      </c>
      <c r="X32" s="257">
        <f t="shared" si="61"/>
        <v>0</v>
      </c>
      <c r="Y32" s="257">
        <f t="shared" si="61"/>
        <v>0</v>
      </c>
      <c r="Z32" s="257">
        <f t="shared" si="61"/>
        <v>0</v>
      </c>
      <c r="AA32" s="255">
        <v>15</v>
      </c>
      <c r="AB32" s="257">
        <f t="shared" si="5"/>
        <v>715.68</v>
      </c>
      <c r="AD32" s="257">
        <f>$AB$32</f>
        <v>715.68</v>
      </c>
      <c r="AE32" s="257">
        <f t="shared" ref="AE32:AM32" si="62">$AB$32</f>
        <v>715.68</v>
      </c>
      <c r="AF32" s="257">
        <f t="shared" si="62"/>
        <v>715.68</v>
      </c>
      <c r="AG32" s="257">
        <f t="shared" si="62"/>
        <v>715.68</v>
      </c>
      <c r="AH32" s="257">
        <f t="shared" si="62"/>
        <v>715.68</v>
      </c>
      <c r="AI32" s="257">
        <f t="shared" si="62"/>
        <v>715.68</v>
      </c>
      <c r="AJ32" s="257">
        <f t="shared" si="62"/>
        <v>715.68</v>
      </c>
      <c r="AK32" s="257">
        <f t="shared" si="62"/>
        <v>715.68</v>
      </c>
      <c r="AL32" s="257">
        <f t="shared" si="62"/>
        <v>715.68</v>
      </c>
      <c r="AM32" s="257">
        <f t="shared" si="62"/>
        <v>715.68</v>
      </c>
      <c r="AN32" s="257">
        <f t="shared" si="7"/>
        <v>7156.8000000000011</v>
      </c>
      <c r="AO32" s="257">
        <f t="shared" si="8"/>
        <v>3578.3999999999978</v>
      </c>
    </row>
    <row r="33" spans="1:41" s="253" customFormat="1" x14ac:dyDescent="0.25">
      <c r="A33" s="242" t="s">
        <v>623</v>
      </c>
      <c r="B33" s="242">
        <v>0</v>
      </c>
      <c r="C33" s="242">
        <v>1</v>
      </c>
      <c r="D33" s="242">
        <v>0</v>
      </c>
      <c r="E33" s="242">
        <v>0</v>
      </c>
      <c r="F33" s="242">
        <v>0</v>
      </c>
      <c r="G33" s="242">
        <v>0</v>
      </c>
      <c r="H33" s="242">
        <v>0</v>
      </c>
      <c r="I33" s="242">
        <v>0</v>
      </c>
      <c r="J33" s="242">
        <v>0</v>
      </c>
      <c r="K33" s="242">
        <v>0</v>
      </c>
      <c r="L33" s="242">
        <v>0</v>
      </c>
      <c r="M33" s="242">
        <f t="shared" si="2"/>
        <v>1</v>
      </c>
      <c r="N33" s="257">
        <f>'Inv Equipos'!$V$18</f>
        <v>10735.199999999999</v>
      </c>
      <c r="O33" s="257">
        <f t="shared" si="3"/>
        <v>10735.199999999999</v>
      </c>
      <c r="P33" s="257">
        <f>B33*$N$33</f>
        <v>0</v>
      </c>
      <c r="Q33" s="257">
        <f t="shared" ref="Q33:Z33" si="63">C33*$N$33</f>
        <v>10735.199999999999</v>
      </c>
      <c r="R33" s="257">
        <f t="shared" si="63"/>
        <v>0</v>
      </c>
      <c r="S33" s="257">
        <f t="shared" si="63"/>
        <v>0</v>
      </c>
      <c r="T33" s="257">
        <f t="shared" si="63"/>
        <v>0</v>
      </c>
      <c r="U33" s="257">
        <f t="shared" si="63"/>
        <v>0</v>
      </c>
      <c r="V33" s="257">
        <f t="shared" si="63"/>
        <v>0</v>
      </c>
      <c r="W33" s="257">
        <f t="shared" si="63"/>
        <v>0</v>
      </c>
      <c r="X33" s="257">
        <f t="shared" si="63"/>
        <v>0</v>
      </c>
      <c r="Y33" s="257">
        <f t="shared" si="63"/>
        <v>0</v>
      </c>
      <c r="Z33" s="257">
        <f t="shared" si="63"/>
        <v>0</v>
      </c>
      <c r="AA33" s="255">
        <v>15</v>
      </c>
      <c r="AB33" s="257">
        <f t="shared" si="5"/>
        <v>715.68</v>
      </c>
      <c r="AE33" s="257">
        <f>$AB$33</f>
        <v>715.68</v>
      </c>
      <c r="AF33" s="257">
        <f t="shared" ref="AF33:AM33" si="64">$AB$33</f>
        <v>715.68</v>
      </c>
      <c r="AG33" s="257">
        <f t="shared" si="64"/>
        <v>715.68</v>
      </c>
      <c r="AH33" s="257">
        <f t="shared" si="64"/>
        <v>715.68</v>
      </c>
      <c r="AI33" s="257">
        <f t="shared" si="64"/>
        <v>715.68</v>
      </c>
      <c r="AJ33" s="257">
        <f t="shared" si="64"/>
        <v>715.68</v>
      </c>
      <c r="AK33" s="257">
        <f t="shared" si="64"/>
        <v>715.68</v>
      </c>
      <c r="AL33" s="257">
        <f t="shared" si="64"/>
        <v>715.68</v>
      </c>
      <c r="AM33" s="257">
        <f t="shared" si="64"/>
        <v>715.68</v>
      </c>
      <c r="AN33" s="257">
        <f t="shared" si="7"/>
        <v>6441.1200000000008</v>
      </c>
      <c r="AO33" s="257">
        <f t="shared" si="8"/>
        <v>4294.0799999999981</v>
      </c>
    </row>
    <row r="34" spans="1:41" s="253" customFormat="1" x14ac:dyDescent="0.25">
      <c r="A34" s="242" t="s">
        <v>623</v>
      </c>
      <c r="B34" s="242">
        <v>0</v>
      </c>
      <c r="C34" s="242">
        <v>0</v>
      </c>
      <c r="D34" s="242">
        <v>0</v>
      </c>
      <c r="E34" s="242">
        <v>0</v>
      </c>
      <c r="F34" s="242">
        <v>0</v>
      </c>
      <c r="G34" s="242">
        <v>0</v>
      </c>
      <c r="H34" s="242">
        <v>1</v>
      </c>
      <c r="I34" s="242">
        <v>0</v>
      </c>
      <c r="J34" s="242">
        <v>0</v>
      </c>
      <c r="K34" s="242">
        <v>0</v>
      </c>
      <c r="L34" s="242">
        <v>0</v>
      </c>
      <c r="M34" s="242">
        <f t="shared" si="2"/>
        <v>1</v>
      </c>
      <c r="N34" s="257">
        <f>'Inv Equipos'!$V$18</f>
        <v>10735.199999999999</v>
      </c>
      <c r="O34" s="257">
        <f t="shared" si="3"/>
        <v>10735.199999999999</v>
      </c>
      <c r="P34" s="257">
        <f>B34*$N$34</f>
        <v>0</v>
      </c>
      <c r="Q34" s="257">
        <f t="shared" ref="Q34:Z34" si="65">C34*$N$34</f>
        <v>0</v>
      </c>
      <c r="R34" s="257">
        <f t="shared" si="65"/>
        <v>0</v>
      </c>
      <c r="S34" s="257">
        <f t="shared" si="65"/>
        <v>0</v>
      </c>
      <c r="T34" s="257">
        <f t="shared" si="65"/>
        <v>0</v>
      </c>
      <c r="U34" s="257">
        <f t="shared" si="65"/>
        <v>0</v>
      </c>
      <c r="V34" s="257">
        <f t="shared" si="65"/>
        <v>10735.199999999999</v>
      </c>
      <c r="W34" s="257">
        <f t="shared" si="65"/>
        <v>0</v>
      </c>
      <c r="X34" s="257">
        <f t="shared" si="65"/>
        <v>0</v>
      </c>
      <c r="Y34" s="257">
        <f t="shared" si="65"/>
        <v>0</v>
      </c>
      <c r="Z34" s="257">
        <f t="shared" si="65"/>
        <v>0</v>
      </c>
      <c r="AA34" s="255">
        <v>15</v>
      </c>
      <c r="AB34" s="257">
        <f t="shared" si="5"/>
        <v>715.68</v>
      </c>
      <c r="AJ34" s="257">
        <f>$AB$34</f>
        <v>715.68</v>
      </c>
      <c r="AK34" s="257">
        <f t="shared" ref="AK34:AM34" si="66">$AB$34</f>
        <v>715.68</v>
      </c>
      <c r="AL34" s="257">
        <f t="shared" si="66"/>
        <v>715.68</v>
      </c>
      <c r="AM34" s="257">
        <f t="shared" si="66"/>
        <v>715.68</v>
      </c>
      <c r="AN34" s="257">
        <f t="shared" si="7"/>
        <v>2862.72</v>
      </c>
      <c r="AO34" s="257">
        <f t="shared" si="8"/>
        <v>7872.48</v>
      </c>
    </row>
    <row r="35" spans="1:41" s="253" customFormat="1" x14ac:dyDescent="0.25">
      <c r="A35" s="242" t="s">
        <v>624</v>
      </c>
      <c r="B35" s="242">
        <v>1</v>
      </c>
      <c r="C35" s="242">
        <v>0</v>
      </c>
      <c r="D35" s="242">
        <v>0</v>
      </c>
      <c r="E35" s="242">
        <v>0</v>
      </c>
      <c r="F35" s="242">
        <v>0</v>
      </c>
      <c r="G35" s="242">
        <v>0</v>
      </c>
      <c r="H35" s="242">
        <v>0</v>
      </c>
      <c r="I35" s="242">
        <v>0</v>
      </c>
      <c r="J35" s="242">
        <v>0</v>
      </c>
      <c r="K35" s="242">
        <v>0</v>
      </c>
      <c r="L35" s="242">
        <v>0</v>
      </c>
      <c r="M35" s="242">
        <f t="shared" si="2"/>
        <v>1</v>
      </c>
      <c r="N35" s="257">
        <f>'Inv Equipos'!V19</f>
        <v>70128.2</v>
      </c>
      <c r="O35" s="257">
        <f t="shared" si="3"/>
        <v>70128.2</v>
      </c>
      <c r="P35" s="257">
        <f>B35*$N$35</f>
        <v>70128.2</v>
      </c>
      <c r="Q35" s="257">
        <f t="shared" ref="Q35:Z35" si="67">C35*$N$35</f>
        <v>0</v>
      </c>
      <c r="R35" s="257">
        <f t="shared" si="67"/>
        <v>0</v>
      </c>
      <c r="S35" s="257">
        <f t="shared" si="67"/>
        <v>0</v>
      </c>
      <c r="T35" s="257">
        <f t="shared" si="67"/>
        <v>0</v>
      </c>
      <c r="U35" s="257">
        <f t="shared" si="67"/>
        <v>0</v>
      </c>
      <c r="V35" s="257">
        <f t="shared" si="67"/>
        <v>0</v>
      </c>
      <c r="W35" s="257">
        <f t="shared" si="67"/>
        <v>0</v>
      </c>
      <c r="X35" s="257">
        <f t="shared" si="67"/>
        <v>0</v>
      </c>
      <c r="Y35" s="257">
        <f t="shared" si="67"/>
        <v>0</v>
      </c>
      <c r="Z35" s="257">
        <f t="shared" si="67"/>
        <v>0</v>
      </c>
      <c r="AA35" s="255">
        <v>15</v>
      </c>
      <c r="AB35" s="257">
        <f t="shared" si="5"/>
        <v>4675.2133333333331</v>
      </c>
      <c r="AD35" s="257">
        <f>$AB$35</f>
        <v>4675.2133333333331</v>
      </c>
      <c r="AE35" s="257">
        <f t="shared" ref="AE35:AM35" si="68">$AB$35</f>
        <v>4675.2133333333331</v>
      </c>
      <c r="AF35" s="257">
        <f t="shared" si="68"/>
        <v>4675.2133333333331</v>
      </c>
      <c r="AG35" s="257">
        <f t="shared" si="68"/>
        <v>4675.2133333333331</v>
      </c>
      <c r="AH35" s="257">
        <f t="shared" si="68"/>
        <v>4675.2133333333331</v>
      </c>
      <c r="AI35" s="257">
        <f t="shared" si="68"/>
        <v>4675.2133333333331</v>
      </c>
      <c r="AJ35" s="257">
        <f t="shared" si="68"/>
        <v>4675.2133333333331</v>
      </c>
      <c r="AK35" s="257">
        <f t="shared" si="68"/>
        <v>4675.2133333333331</v>
      </c>
      <c r="AL35" s="257">
        <f t="shared" si="68"/>
        <v>4675.2133333333331</v>
      </c>
      <c r="AM35" s="257">
        <f t="shared" si="68"/>
        <v>4675.2133333333331</v>
      </c>
      <c r="AN35" s="257">
        <f t="shared" si="7"/>
        <v>46752.133333333331</v>
      </c>
      <c r="AO35" s="257">
        <f t="shared" si="8"/>
        <v>23376.066666666666</v>
      </c>
    </row>
    <row r="36" spans="1:41" s="253" customFormat="1" x14ac:dyDescent="0.25">
      <c r="A36" s="242" t="s">
        <v>625</v>
      </c>
      <c r="B36" s="242">
        <v>1</v>
      </c>
      <c r="C36" s="242">
        <v>0</v>
      </c>
      <c r="D36" s="242">
        <v>0</v>
      </c>
      <c r="E36" s="242">
        <v>0</v>
      </c>
      <c r="F36" s="242">
        <v>0</v>
      </c>
      <c r="G36" s="242">
        <v>0</v>
      </c>
      <c r="H36" s="242">
        <v>0</v>
      </c>
      <c r="I36" s="242">
        <v>0</v>
      </c>
      <c r="J36" s="242">
        <v>0</v>
      </c>
      <c r="K36" s="242">
        <v>0</v>
      </c>
      <c r="L36" s="242">
        <v>0</v>
      </c>
      <c r="M36" s="242">
        <f t="shared" si="2"/>
        <v>1</v>
      </c>
      <c r="N36" s="257">
        <f>'Inv Equipos'!V20</f>
        <v>60945</v>
      </c>
      <c r="O36" s="257">
        <f t="shared" si="3"/>
        <v>60945</v>
      </c>
      <c r="P36" s="257">
        <f>B36*$N$36</f>
        <v>60945</v>
      </c>
      <c r="Q36" s="257">
        <f t="shared" ref="Q36:Z36" si="69">C36*$N$36</f>
        <v>0</v>
      </c>
      <c r="R36" s="257">
        <f t="shared" si="69"/>
        <v>0</v>
      </c>
      <c r="S36" s="257">
        <f t="shared" si="69"/>
        <v>0</v>
      </c>
      <c r="T36" s="257">
        <f t="shared" si="69"/>
        <v>0</v>
      </c>
      <c r="U36" s="257">
        <f t="shared" si="69"/>
        <v>0</v>
      </c>
      <c r="V36" s="257">
        <f t="shared" si="69"/>
        <v>0</v>
      </c>
      <c r="W36" s="257">
        <f t="shared" si="69"/>
        <v>0</v>
      </c>
      <c r="X36" s="257">
        <f t="shared" si="69"/>
        <v>0</v>
      </c>
      <c r="Y36" s="257">
        <f t="shared" si="69"/>
        <v>0</v>
      </c>
      <c r="Z36" s="257">
        <f t="shared" si="69"/>
        <v>0</v>
      </c>
      <c r="AA36" s="255">
        <v>15</v>
      </c>
      <c r="AB36" s="257">
        <f t="shared" si="5"/>
        <v>4063</v>
      </c>
      <c r="AD36" s="257">
        <f>$AB$36</f>
        <v>4063</v>
      </c>
      <c r="AE36" s="257">
        <f t="shared" ref="AE36:AM36" si="70">$AB$36</f>
        <v>4063</v>
      </c>
      <c r="AF36" s="257">
        <f t="shared" si="70"/>
        <v>4063</v>
      </c>
      <c r="AG36" s="257">
        <f t="shared" si="70"/>
        <v>4063</v>
      </c>
      <c r="AH36" s="257">
        <f t="shared" si="70"/>
        <v>4063</v>
      </c>
      <c r="AI36" s="257">
        <f t="shared" si="70"/>
        <v>4063</v>
      </c>
      <c r="AJ36" s="257">
        <f t="shared" si="70"/>
        <v>4063</v>
      </c>
      <c r="AK36" s="257">
        <f t="shared" si="70"/>
        <v>4063</v>
      </c>
      <c r="AL36" s="257">
        <f t="shared" si="70"/>
        <v>4063</v>
      </c>
      <c r="AM36" s="257">
        <f t="shared" si="70"/>
        <v>4063</v>
      </c>
      <c r="AN36" s="257">
        <f t="shared" si="7"/>
        <v>40630</v>
      </c>
      <c r="AO36" s="257">
        <f t="shared" si="8"/>
        <v>20315</v>
      </c>
    </row>
    <row r="37" spans="1:41" s="253" customFormat="1" x14ac:dyDescent="0.25">
      <c r="A37" s="242" t="s">
        <v>626</v>
      </c>
      <c r="B37" s="242">
        <v>1</v>
      </c>
      <c r="C37" s="242">
        <v>0</v>
      </c>
      <c r="D37" s="242">
        <v>0</v>
      </c>
      <c r="E37" s="242">
        <v>0</v>
      </c>
      <c r="F37" s="242">
        <v>0</v>
      </c>
      <c r="G37" s="242">
        <v>0</v>
      </c>
      <c r="H37" s="242">
        <v>0</v>
      </c>
      <c r="I37" s="242">
        <v>0</v>
      </c>
      <c r="J37" s="242">
        <v>0</v>
      </c>
      <c r="K37" s="242">
        <v>0</v>
      </c>
      <c r="L37" s="242">
        <v>0</v>
      </c>
      <c r="M37" s="242">
        <f t="shared" si="2"/>
        <v>1</v>
      </c>
      <c r="N37" s="257">
        <f>'Inv Equipos'!V21</f>
        <v>16469.825000000001</v>
      </c>
      <c r="O37" s="257">
        <f t="shared" si="3"/>
        <v>16469.825000000001</v>
      </c>
      <c r="P37" s="257">
        <f>B37*$N$37</f>
        <v>16469.825000000001</v>
      </c>
      <c r="Q37" s="257">
        <f t="shared" ref="Q37:Z37" si="71">C37*$N$37</f>
        <v>0</v>
      </c>
      <c r="R37" s="257">
        <f t="shared" si="71"/>
        <v>0</v>
      </c>
      <c r="S37" s="257">
        <f t="shared" si="71"/>
        <v>0</v>
      </c>
      <c r="T37" s="257">
        <f t="shared" si="71"/>
        <v>0</v>
      </c>
      <c r="U37" s="257">
        <f t="shared" si="71"/>
        <v>0</v>
      </c>
      <c r="V37" s="257">
        <f t="shared" si="71"/>
        <v>0</v>
      </c>
      <c r="W37" s="257">
        <f t="shared" si="71"/>
        <v>0</v>
      </c>
      <c r="X37" s="257">
        <f t="shared" si="71"/>
        <v>0</v>
      </c>
      <c r="Y37" s="257">
        <f t="shared" si="71"/>
        <v>0</v>
      </c>
      <c r="Z37" s="257">
        <f t="shared" si="71"/>
        <v>0</v>
      </c>
      <c r="AA37" s="255">
        <v>15</v>
      </c>
      <c r="AB37" s="257">
        <f t="shared" si="5"/>
        <v>1097.9883333333335</v>
      </c>
      <c r="AD37" s="257">
        <f>$AB$37</f>
        <v>1097.9883333333335</v>
      </c>
      <c r="AE37" s="257">
        <f t="shared" ref="AE37:AM37" si="72">$AB$37</f>
        <v>1097.9883333333335</v>
      </c>
      <c r="AF37" s="257">
        <f t="shared" si="72"/>
        <v>1097.9883333333335</v>
      </c>
      <c r="AG37" s="257">
        <f t="shared" si="72"/>
        <v>1097.9883333333335</v>
      </c>
      <c r="AH37" s="257">
        <f t="shared" si="72"/>
        <v>1097.9883333333335</v>
      </c>
      <c r="AI37" s="257">
        <f t="shared" si="72"/>
        <v>1097.9883333333335</v>
      </c>
      <c r="AJ37" s="257">
        <f t="shared" si="72"/>
        <v>1097.9883333333335</v>
      </c>
      <c r="AK37" s="257">
        <f t="shared" si="72"/>
        <v>1097.9883333333335</v>
      </c>
      <c r="AL37" s="257">
        <f t="shared" si="72"/>
        <v>1097.9883333333335</v>
      </c>
      <c r="AM37" s="257">
        <f t="shared" si="72"/>
        <v>1097.9883333333335</v>
      </c>
      <c r="AN37" s="257">
        <f t="shared" si="7"/>
        <v>10979.883333333333</v>
      </c>
      <c r="AO37" s="257">
        <f t="shared" si="8"/>
        <v>5489.9416666666675</v>
      </c>
    </row>
    <row r="38" spans="1:41" s="253" customFormat="1" x14ac:dyDescent="0.25">
      <c r="A38" s="242" t="s">
        <v>627</v>
      </c>
      <c r="B38" s="242">
        <v>1</v>
      </c>
      <c r="C38" s="242">
        <v>0</v>
      </c>
      <c r="D38" s="242">
        <v>0</v>
      </c>
      <c r="E38" s="242">
        <v>0</v>
      </c>
      <c r="F38" s="242">
        <v>0</v>
      </c>
      <c r="G38" s="242">
        <v>0</v>
      </c>
      <c r="H38" s="242">
        <v>0</v>
      </c>
      <c r="I38" s="242">
        <v>0</v>
      </c>
      <c r="J38" s="242">
        <v>0</v>
      </c>
      <c r="K38" s="242">
        <v>0</v>
      </c>
      <c r="L38" s="242">
        <v>0</v>
      </c>
      <c r="M38" s="242">
        <f t="shared" si="2"/>
        <v>1</v>
      </c>
      <c r="N38" s="257">
        <f>'Inv Equipos'!$V$22</f>
        <v>236428.43932861101</v>
      </c>
      <c r="O38" s="257">
        <f t="shared" si="3"/>
        <v>236428.43932861101</v>
      </c>
      <c r="P38" s="257">
        <f>B38*$N$38</f>
        <v>236428.43932861101</v>
      </c>
      <c r="Q38" s="257">
        <f t="shared" ref="Q38:Z38" si="73">C38*$N$38</f>
        <v>0</v>
      </c>
      <c r="R38" s="257">
        <f t="shared" si="73"/>
        <v>0</v>
      </c>
      <c r="S38" s="257">
        <f t="shared" si="73"/>
        <v>0</v>
      </c>
      <c r="T38" s="257">
        <f t="shared" si="73"/>
        <v>0</v>
      </c>
      <c r="U38" s="257">
        <f t="shared" si="73"/>
        <v>0</v>
      </c>
      <c r="V38" s="257">
        <f t="shared" si="73"/>
        <v>0</v>
      </c>
      <c r="W38" s="257">
        <f t="shared" si="73"/>
        <v>0</v>
      </c>
      <c r="X38" s="257">
        <f t="shared" si="73"/>
        <v>0</v>
      </c>
      <c r="Y38" s="257">
        <f t="shared" si="73"/>
        <v>0</v>
      </c>
      <c r="Z38" s="257">
        <f t="shared" si="73"/>
        <v>0</v>
      </c>
      <c r="AA38" s="255">
        <v>15</v>
      </c>
      <c r="AB38" s="257">
        <f t="shared" si="5"/>
        <v>15761.895955240734</v>
      </c>
      <c r="AD38" s="257">
        <f>$AB$38</f>
        <v>15761.895955240734</v>
      </c>
      <c r="AE38" s="257">
        <f t="shared" ref="AE38:AM38" si="74">$AB$38</f>
        <v>15761.895955240734</v>
      </c>
      <c r="AF38" s="257">
        <f t="shared" si="74"/>
        <v>15761.895955240734</v>
      </c>
      <c r="AG38" s="257">
        <f t="shared" si="74"/>
        <v>15761.895955240734</v>
      </c>
      <c r="AH38" s="257">
        <f t="shared" si="74"/>
        <v>15761.895955240734</v>
      </c>
      <c r="AI38" s="257">
        <f t="shared" si="74"/>
        <v>15761.895955240734</v>
      </c>
      <c r="AJ38" s="257">
        <f t="shared" si="74"/>
        <v>15761.895955240734</v>
      </c>
      <c r="AK38" s="257">
        <f t="shared" si="74"/>
        <v>15761.895955240734</v>
      </c>
      <c r="AL38" s="257">
        <f t="shared" si="74"/>
        <v>15761.895955240734</v>
      </c>
      <c r="AM38" s="257">
        <f t="shared" si="74"/>
        <v>15761.895955240734</v>
      </c>
      <c r="AN38" s="257">
        <f t="shared" si="7"/>
        <v>157618.95955240735</v>
      </c>
      <c r="AO38" s="257">
        <f t="shared" si="8"/>
        <v>78809.479776203661</v>
      </c>
    </row>
    <row r="39" spans="1:41" s="253" customFormat="1" x14ac:dyDescent="0.25">
      <c r="A39" s="242" t="s">
        <v>627</v>
      </c>
      <c r="B39" s="242">
        <v>0</v>
      </c>
      <c r="C39" s="242">
        <v>0</v>
      </c>
      <c r="D39" s="242">
        <v>0</v>
      </c>
      <c r="E39" s="242">
        <v>0</v>
      </c>
      <c r="F39" s="242">
        <v>1</v>
      </c>
      <c r="G39" s="242">
        <v>0</v>
      </c>
      <c r="H39" s="242">
        <v>0</v>
      </c>
      <c r="I39" s="242">
        <v>0</v>
      </c>
      <c r="J39" s="242">
        <v>0</v>
      </c>
      <c r="K39" s="242">
        <v>0</v>
      </c>
      <c r="L39" s="242">
        <v>0</v>
      </c>
      <c r="M39" s="242">
        <f t="shared" si="2"/>
        <v>1</v>
      </c>
      <c r="N39" s="257">
        <f>'Inv Equipos'!$V$22</f>
        <v>236428.43932861101</v>
      </c>
      <c r="O39" s="257">
        <f t="shared" si="3"/>
        <v>236428.43932861101</v>
      </c>
      <c r="P39" s="257">
        <f>B39*$N$39</f>
        <v>0</v>
      </c>
      <c r="Q39" s="257">
        <f t="shared" ref="Q39:Z39" si="75">C39*$N$39</f>
        <v>0</v>
      </c>
      <c r="R39" s="257">
        <f t="shared" si="75"/>
        <v>0</v>
      </c>
      <c r="S39" s="257">
        <f t="shared" si="75"/>
        <v>0</v>
      </c>
      <c r="T39" s="257">
        <f t="shared" si="75"/>
        <v>236428.43932861101</v>
      </c>
      <c r="U39" s="257">
        <f t="shared" si="75"/>
        <v>0</v>
      </c>
      <c r="V39" s="257">
        <f t="shared" si="75"/>
        <v>0</v>
      </c>
      <c r="W39" s="257">
        <f t="shared" si="75"/>
        <v>0</v>
      </c>
      <c r="X39" s="257">
        <f t="shared" si="75"/>
        <v>0</v>
      </c>
      <c r="Y39" s="257">
        <f t="shared" si="75"/>
        <v>0</v>
      </c>
      <c r="Z39" s="257">
        <f t="shared" si="75"/>
        <v>0</v>
      </c>
      <c r="AA39" s="255">
        <v>15</v>
      </c>
      <c r="AB39" s="257">
        <f t="shared" si="5"/>
        <v>15761.895955240734</v>
      </c>
      <c r="AH39" s="257">
        <f>$AB$39</f>
        <v>15761.895955240734</v>
      </c>
      <c r="AI39" s="257">
        <f t="shared" ref="AI39:AM39" si="76">$AB$39</f>
        <v>15761.895955240734</v>
      </c>
      <c r="AJ39" s="257">
        <f t="shared" si="76"/>
        <v>15761.895955240734</v>
      </c>
      <c r="AK39" s="257">
        <f t="shared" si="76"/>
        <v>15761.895955240734</v>
      </c>
      <c r="AL39" s="257">
        <f t="shared" si="76"/>
        <v>15761.895955240734</v>
      </c>
      <c r="AM39" s="257">
        <f t="shared" si="76"/>
        <v>15761.895955240734</v>
      </c>
      <c r="AN39" s="257">
        <f t="shared" si="7"/>
        <v>94571.375731444408</v>
      </c>
      <c r="AO39" s="257">
        <f t="shared" si="8"/>
        <v>141857.06359716662</v>
      </c>
    </row>
    <row r="40" spans="1:41" s="253" customFormat="1" x14ac:dyDescent="0.25">
      <c r="A40" s="242" t="s">
        <v>628</v>
      </c>
      <c r="B40" s="242">
        <v>1</v>
      </c>
      <c r="C40" s="242">
        <v>0</v>
      </c>
      <c r="D40" s="242">
        <v>0</v>
      </c>
      <c r="E40" s="242">
        <v>0</v>
      </c>
      <c r="F40" s="242">
        <v>0</v>
      </c>
      <c r="G40" s="242">
        <v>0</v>
      </c>
      <c r="H40" s="242">
        <v>0</v>
      </c>
      <c r="I40" s="242">
        <v>0</v>
      </c>
      <c r="J40" s="242">
        <v>0</v>
      </c>
      <c r="K40" s="242">
        <v>0</v>
      </c>
      <c r="L40" s="242">
        <v>0</v>
      </c>
      <c r="M40" s="242">
        <f t="shared" si="2"/>
        <v>1</v>
      </c>
      <c r="N40" s="257">
        <f>'Inv Equipos'!V23</f>
        <v>60561.8</v>
      </c>
      <c r="O40" s="257">
        <f t="shared" si="3"/>
        <v>60561.8</v>
      </c>
      <c r="P40" s="257">
        <f>B40*$N$40</f>
        <v>60561.8</v>
      </c>
      <c r="Q40" s="257">
        <f t="shared" ref="Q40:Z40" si="77">C40*$N$40</f>
        <v>0</v>
      </c>
      <c r="R40" s="257">
        <f t="shared" si="77"/>
        <v>0</v>
      </c>
      <c r="S40" s="257">
        <f t="shared" si="77"/>
        <v>0</v>
      </c>
      <c r="T40" s="257">
        <f t="shared" si="77"/>
        <v>0</v>
      </c>
      <c r="U40" s="257">
        <f t="shared" si="77"/>
        <v>0</v>
      </c>
      <c r="V40" s="257">
        <f t="shared" si="77"/>
        <v>0</v>
      </c>
      <c r="W40" s="257">
        <f t="shared" si="77"/>
        <v>0</v>
      </c>
      <c r="X40" s="257">
        <f t="shared" si="77"/>
        <v>0</v>
      </c>
      <c r="Y40" s="257">
        <f t="shared" si="77"/>
        <v>0</v>
      </c>
      <c r="Z40" s="257">
        <f t="shared" si="77"/>
        <v>0</v>
      </c>
      <c r="AA40" s="255">
        <v>15</v>
      </c>
      <c r="AB40" s="257">
        <f t="shared" si="5"/>
        <v>4037.4533333333334</v>
      </c>
      <c r="AD40" s="257">
        <f>$AB$40</f>
        <v>4037.4533333333334</v>
      </c>
      <c r="AE40" s="257">
        <f t="shared" ref="AE40:AM40" si="78">$AB$40</f>
        <v>4037.4533333333334</v>
      </c>
      <c r="AF40" s="257">
        <f t="shared" si="78"/>
        <v>4037.4533333333334</v>
      </c>
      <c r="AG40" s="257">
        <f t="shared" si="78"/>
        <v>4037.4533333333334</v>
      </c>
      <c r="AH40" s="257">
        <f t="shared" si="78"/>
        <v>4037.4533333333334</v>
      </c>
      <c r="AI40" s="257">
        <f t="shared" si="78"/>
        <v>4037.4533333333334</v>
      </c>
      <c r="AJ40" s="257">
        <f t="shared" si="78"/>
        <v>4037.4533333333334</v>
      </c>
      <c r="AK40" s="257">
        <f t="shared" si="78"/>
        <v>4037.4533333333334</v>
      </c>
      <c r="AL40" s="257">
        <f t="shared" si="78"/>
        <v>4037.4533333333334</v>
      </c>
      <c r="AM40" s="257">
        <f t="shared" si="78"/>
        <v>4037.4533333333334</v>
      </c>
      <c r="AN40" s="257">
        <f t="shared" si="7"/>
        <v>40374.533333333333</v>
      </c>
      <c r="AO40" s="257">
        <f t="shared" si="8"/>
        <v>20187.26666666667</v>
      </c>
    </row>
    <row r="41" spans="1:41" s="253" customFormat="1" x14ac:dyDescent="0.25">
      <c r="A41" s="242" t="s">
        <v>629</v>
      </c>
      <c r="B41" s="242">
        <v>1</v>
      </c>
      <c r="C41" s="242">
        <v>0</v>
      </c>
      <c r="D41" s="242">
        <v>0</v>
      </c>
      <c r="E41" s="242">
        <v>0</v>
      </c>
      <c r="F41" s="242">
        <v>0</v>
      </c>
      <c r="G41" s="242">
        <v>0</v>
      </c>
      <c r="H41" s="242">
        <v>0</v>
      </c>
      <c r="I41" s="242">
        <v>0</v>
      </c>
      <c r="J41" s="242">
        <v>0</v>
      </c>
      <c r="K41" s="242">
        <v>0</v>
      </c>
      <c r="L41" s="242">
        <v>0</v>
      </c>
      <c r="M41" s="242">
        <f t="shared" si="2"/>
        <v>1</v>
      </c>
      <c r="N41" s="257">
        <f>'Inv Equipos'!V24</f>
        <v>58663.6</v>
      </c>
      <c r="O41" s="257">
        <f t="shared" si="3"/>
        <v>58663.6</v>
      </c>
      <c r="P41" s="257">
        <f>B41*$N$41</f>
        <v>58663.6</v>
      </c>
      <c r="Q41" s="257">
        <f t="shared" ref="Q41:Z41" si="79">C41*$N$41</f>
        <v>0</v>
      </c>
      <c r="R41" s="257">
        <f t="shared" si="79"/>
        <v>0</v>
      </c>
      <c r="S41" s="257">
        <f t="shared" si="79"/>
        <v>0</v>
      </c>
      <c r="T41" s="257">
        <f t="shared" si="79"/>
        <v>0</v>
      </c>
      <c r="U41" s="257">
        <f t="shared" si="79"/>
        <v>0</v>
      </c>
      <c r="V41" s="257">
        <f t="shared" si="79"/>
        <v>0</v>
      </c>
      <c r="W41" s="257">
        <f t="shared" si="79"/>
        <v>0</v>
      </c>
      <c r="X41" s="257">
        <f t="shared" si="79"/>
        <v>0</v>
      </c>
      <c r="Y41" s="257">
        <f t="shared" si="79"/>
        <v>0</v>
      </c>
      <c r="Z41" s="257">
        <f t="shared" si="79"/>
        <v>0</v>
      </c>
      <c r="AA41" s="255">
        <v>15</v>
      </c>
      <c r="AB41" s="257">
        <f t="shared" si="5"/>
        <v>3910.9066666666668</v>
      </c>
      <c r="AD41" s="257">
        <f>$AB$41</f>
        <v>3910.9066666666668</v>
      </c>
      <c r="AE41" s="257">
        <f t="shared" ref="AE41:AM41" si="80">$AB$41</f>
        <v>3910.9066666666668</v>
      </c>
      <c r="AF41" s="257">
        <f t="shared" si="80"/>
        <v>3910.9066666666668</v>
      </c>
      <c r="AG41" s="257">
        <f t="shared" si="80"/>
        <v>3910.9066666666668</v>
      </c>
      <c r="AH41" s="257">
        <f t="shared" si="80"/>
        <v>3910.9066666666668</v>
      </c>
      <c r="AI41" s="257">
        <f t="shared" si="80"/>
        <v>3910.9066666666668</v>
      </c>
      <c r="AJ41" s="257">
        <f t="shared" si="80"/>
        <v>3910.9066666666668</v>
      </c>
      <c r="AK41" s="257">
        <f t="shared" si="80"/>
        <v>3910.9066666666668</v>
      </c>
      <c r="AL41" s="257">
        <f t="shared" si="80"/>
        <v>3910.9066666666668</v>
      </c>
      <c r="AM41" s="257">
        <f t="shared" si="80"/>
        <v>3910.9066666666668</v>
      </c>
      <c r="AN41" s="257">
        <f t="shared" si="7"/>
        <v>39109.066666666666</v>
      </c>
      <c r="AO41" s="257">
        <f t="shared" si="8"/>
        <v>19554.533333333333</v>
      </c>
    </row>
    <row r="42" spans="1:41" s="253" customFormat="1" x14ac:dyDescent="0.25">
      <c r="A42" s="242" t="s">
        <v>630</v>
      </c>
      <c r="B42" s="242">
        <v>1</v>
      </c>
      <c r="C42" s="242">
        <v>0</v>
      </c>
      <c r="D42" s="242">
        <v>0</v>
      </c>
      <c r="E42" s="242">
        <v>0</v>
      </c>
      <c r="F42" s="242">
        <v>0</v>
      </c>
      <c r="G42" s="242">
        <v>0</v>
      </c>
      <c r="H42" s="242">
        <v>0</v>
      </c>
      <c r="I42" s="242">
        <v>0</v>
      </c>
      <c r="J42" s="242">
        <v>0</v>
      </c>
      <c r="K42" s="242">
        <v>0</v>
      </c>
      <c r="L42" s="242">
        <v>0</v>
      </c>
      <c r="M42" s="242">
        <f t="shared" si="2"/>
        <v>1</v>
      </c>
      <c r="N42" s="257">
        <f>'Inv Equipos'!V25</f>
        <v>164720</v>
      </c>
      <c r="O42" s="257">
        <f t="shared" si="3"/>
        <v>164720</v>
      </c>
      <c r="P42" s="257">
        <f>B42*$N$42</f>
        <v>164720</v>
      </c>
      <c r="Q42" s="257">
        <f t="shared" ref="Q42:Z42" si="81">C42*$N$42</f>
        <v>0</v>
      </c>
      <c r="R42" s="257">
        <f t="shared" si="81"/>
        <v>0</v>
      </c>
      <c r="S42" s="257">
        <f t="shared" si="81"/>
        <v>0</v>
      </c>
      <c r="T42" s="257">
        <f t="shared" si="81"/>
        <v>0</v>
      </c>
      <c r="U42" s="257">
        <f t="shared" si="81"/>
        <v>0</v>
      </c>
      <c r="V42" s="257">
        <f t="shared" si="81"/>
        <v>0</v>
      </c>
      <c r="W42" s="257">
        <f t="shared" si="81"/>
        <v>0</v>
      </c>
      <c r="X42" s="257">
        <f t="shared" si="81"/>
        <v>0</v>
      </c>
      <c r="Y42" s="257">
        <f t="shared" si="81"/>
        <v>0</v>
      </c>
      <c r="Z42" s="257">
        <f t="shared" si="81"/>
        <v>0</v>
      </c>
      <c r="AA42" s="255">
        <v>15</v>
      </c>
      <c r="AB42" s="257">
        <f t="shared" si="5"/>
        <v>10981.333333333334</v>
      </c>
      <c r="AD42" s="257">
        <f>$AB$42</f>
        <v>10981.333333333334</v>
      </c>
      <c r="AE42" s="257">
        <f t="shared" ref="AE42:AM42" si="82">$AB$42</f>
        <v>10981.333333333334</v>
      </c>
      <c r="AF42" s="257">
        <f t="shared" si="82"/>
        <v>10981.333333333334</v>
      </c>
      <c r="AG42" s="257">
        <f t="shared" si="82"/>
        <v>10981.333333333334</v>
      </c>
      <c r="AH42" s="257">
        <f t="shared" si="82"/>
        <v>10981.333333333334</v>
      </c>
      <c r="AI42" s="257">
        <f t="shared" si="82"/>
        <v>10981.333333333334</v>
      </c>
      <c r="AJ42" s="257">
        <f t="shared" si="82"/>
        <v>10981.333333333334</v>
      </c>
      <c r="AK42" s="257">
        <f t="shared" si="82"/>
        <v>10981.333333333334</v>
      </c>
      <c r="AL42" s="257">
        <f t="shared" si="82"/>
        <v>10981.333333333334</v>
      </c>
      <c r="AM42" s="257">
        <f t="shared" si="82"/>
        <v>10981.333333333334</v>
      </c>
      <c r="AN42" s="257">
        <f t="shared" si="7"/>
        <v>109813.33333333331</v>
      </c>
      <c r="AO42" s="257">
        <f t="shared" si="8"/>
        <v>54906.666666666686</v>
      </c>
    </row>
    <row r="43" spans="1:41" s="253" customFormat="1" x14ac:dyDescent="0.25">
      <c r="A43" s="242" t="s">
        <v>631</v>
      </c>
      <c r="B43" s="242">
        <v>1</v>
      </c>
      <c r="C43" s="242">
        <v>0</v>
      </c>
      <c r="D43" s="242">
        <v>0</v>
      </c>
      <c r="E43" s="242">
        <v>0</v>
      </c>
      <c r="F43" s="242">
        <v>0</v>
      </c>
      <c r="G43" s="242">
        <v>0</v>
      </c>
      <c r="H43" s="242">
        <v>0</v>
      </c>
      <c r="I43" s="242">
        <v>0</v>
      </c>
      <c r="J43" s="242">
        <v>0</v>
      </c>
      <c r="K43" s="242">
        <v>0</v>
      </c>
      <c r="L43" s="242">
        <v>0</v>
      </c>
      <c r="M43" s="242">
        <f t="shared" si="2"/>
        <v>1</v>
      </c>
      <c r="N43" s="257">
        <f>'Inv Equipos'!V26</f>
        <v>87996</v>
      </c>
      <c r="O43" s="257">
        <f t="shared" si="3"/>
        <v>87996</v>
      </c>
      <c r="P43" s="257">
        <f>B43*$N$43</f>
        <v>87996</v>
      </c>
      <c r="Q43" s="257">
        <f t="shared" ref="Q43:Z43" si="83">C43*$N$43</f>
        <v>0</v>
      </c>
      <c r="R43" s="257">
        <f t="shared" si="83"/>
        <v>0</v>
      </c>
      <c r="S43" s="257">
        <f t="shared" si="83"/>
        <v>0</v>
      </c>
      <c r="T43" s="257">
        <f t="shared" si="83"/>
        <v>0</v>
      </c>
      <c r="U43" s="257">
        <f t="shared" si="83"/>
        <v>0</v>
      </c>
      <c r="V43" s="257">
        <f t="shared" si="83"/>
        <v>0</v>
      </c>
      <c r="W43" s="257">
        <f t="shared" si="83"/>
        <v>0</v>
      </c>
      <c r="X43" s="257">
        <f t="shared" si="83"/>
        <v>0</v>
      </c>
      <c r="Y43" s="257">
        <f t="shared" si="83"/>
        <v>0</v>
      </c>
      <c r="Z43" s="257">
        <f t="shared" si="83"/>
        <v>0</v>
      </c>
      <c r="AA43" s="255">
        <v>15</v>
      </c>
      <c r="AB43" s="257">
        <f t="shared" si="5"/>
        <v>5866.4</v>
      </c>
      <c r="AD43" s="257">
        <f>$AB$43</f>
        <v>5866.4</v>
      </c>
      <c r="AE43" s="257">
        <f t="shared" ref="AE43:AM43" si="84">$AB$43</f>
        <v>5866.4</v>
      </c>
      <c r="AF43" s="257">
        <f t="shared" si="84"/>
        <v>5866.4</v>
      </c>
      <c r="AG43" s="257">
        <f t="shared" si="84"/>
        <v>5866.4</v>
      </c>
      <c r="AH43" s="257">
        <f t="shared" si="84"/>
        <v>5866.4</v>
      </c>
      <c r="AI43" s="257">
        <f t="shared" si="84"/>
        <v>5866.4</v>
      </c>
      <c r="AJ43" s="257">
        <f t="shared" si="84"/>
        <v>5866.4</v>
      </c>
      <c r="AK43" s="257">
        <f t="shared" si="84"/>
        <v>5866.4</v>
      </c>
      <c r="AL43" s="257">
        <f t="shared" si="84"/>
        <v>5866.4</v>
      </c>
      <c r="AM43" s="257">
        <f t="shared" si="84"/>
        <v>5866.4</v>
      </c>
      <c r="AN43" s="257">
        <f t="shared" si="7"/>
        <v>58664.000000000007</v>
      </c>
      <c r="AO43" s="257">
        <f t="shared" si="8"/>
        <v>29331.999999999993</v>
      </c>
    </row>
    <row r="44" spans="1:41" s="253" customFormat="1" x14ac:dyDescent="0.25">
      <c r="A44" s="242" t="s">
        <v>632</v>
      </c>
      <c r="B44" s="242">
        <v>1</v>
      </c>
      <c r="C44" s="242">
        <v>0</v>
      </c>
      <c r="D44" s="242">
        <v>0</v>
      </c>
      <c r="E44" s="242">
        <v>0</v>
      </c>
      <c r="F44" s="242">
        <v>0</v>
      </c>
      <c r="G44" s="242">
        <v>0</v>
      </c>
      <c r="H44" s="242">
        <v>0</v>
      </c>
      <c r="I44" s="242">
        <v>0</v>
      </c>
      <c r="J44" s="242">
        <v>0</v>
      </c>
      <c r="K44" s="242">
        <v>0</v>
      </c>
      <c r="L44" s="242">
        <v>0</v>
      </c>
      <c r="M44" s="242">
        <f t="shared" si="2"/>
        <v>1</v>
      </c>
      <c r="N44" s="257">
        <f>'Inv Equipos'!V27</f>
        <v>5098.8</v>
      </c>
      <c r="O44" s="257">
        <f t="shared" si="3"/>
        <v>5098.8</v>
      </c>
      <c r="P44" s="257">
        <f>B44*$N$44</f>
        <v>5098.8</v>
      </c>
      <c r="Q44" s="257">
        <f t="shared" ref="Q44:Z44" si="85">C44*$N$44</f>
        <v>0</v>
      </c>
      <c r="R44" s="257">
        <f t="shared" si="85"/>
        <v>0</v>
      </c>
      <c r="S44" s="257">
        <f t="shared" si="85"/>
        <v>0</v>
      </c>
      <c r="T44" s="257">
        <f t="shared" si="85"/>
        <v>0</v>
      </c>
      <c r="U44" s="257">
        <f t="shared" si="85"/>
        <v>0</v>
      </c>
      <c r="V44" s="257">
        <f t="shared" si="85"/>
        <v>0</v>
      </c>
      <c r="W44" s="257">
        <f t="shared" si="85"/>
        <v>0</v>
      </c>
      <c r="X44" s="257">
        <f t="shared" si="85"/>
        <v>0</v>
      </c>
      <c r="Y44" s="257">
        <f t="shared" si="85"/>
        <v>0</v>
      </c>
      <c r="Z44" s="257">
        <f t="shared" si="85"/>
        <v>0</v>
      </c>
      <c r="AA44" s="255">
        <v>15</v>
      </c>
      <c r="AB44" s="257">
        <f t="shared" si="5"/>
        <v>339.92</v>
      </c>
      <c r="AD44" s="257">
        <f>$AB$44</f>
        <v>339.92</v>
      </c>
      <c r="AE44" s="257">
        <f t="shared" ref="AE44:AM44" si="86">$AB$44</f>
        <v>339.92</v>
      </c>
      <c r="AF44" s="257">
        <f t="shared" si="86"/>
        <v>339.92</v>
      </c>
      <c r="AG44" s="257">
        <f t="shared" si="86"/>
        <v>339.92</v>
      </c>
      <c r="AH44" s="257">
        <f t="shared" si="86"/>
        <v>339.92</v>
      </c>
      <c r="AI44" s="257">
        <f t="shared" si="86"/>
        <v>339.92</v>
      </c>
      <c r="AJ44" s="257">
        <f t="shared" si="86"/>
        <v>339.92</v>
      </c>
      <c r="AK44" s="257">
        <f t="shared" si="86"/>
        <v>339.92</v>
      </c>
      <c r="AL44" s="257">
        <f t="shared" si="86"/>
        <v>339.92</v>
      </c>
      <c r="AM44" s="257">
        <f t="shared" si="86"/>
        <v>339.92</v>
      </c>
      <c r="AN44" s="257">
        <f t="shared" si="7"/>
        <v>3399.2000000000003</v>
      </c>
      <c r="AO44" s="257">
        <f t="shared" si="8"/>
        <v>1699.6</v>
      </c>
    </row>
    <row r="45" spans="1:41" s="253" customFormat="1" x14ac:dyDescent="0.25">
      <c r="A45" s="242" t="s">
        <v>633</v>
      </c>
      <c r="B45" s="242">
        <v>3</v>
      </c>
      <c r="C45" s="242">
        <v>0</v>
      </c>
      <c r="D45" s="242">
        <v>0</v>
      </c>
      <c r="E45" s="242">
        <v>0</v>
      </c>
      <c r="F45" s="242">
        <v>0</v>
      </c>
      <c r="G45" s="242">
        <v>0</v>
      </c>
      <c r="H45" s="242">
        <v>0</v>
      </c>
      <c r="I45" s="242">
        <v>0</v>
      </c>
      <c r="J45" s="242">
        <v>0</v>
      </c>
      <c r="K45" s="242">
        <v>0</v>
      </c>
      <c r="L45" s="242">
        <v>0</v>
      </c>
      <c r="M45" s="242">
        <f t="shared" si="2"/>
        <v>3</v>
      </c>
      <c r="N45" s="257">
        <f>'Inv Equipos'!V28</f>
        <v>5280.9000000000005</v>
      </c>
      <c r="O45" s="257">
        <f t="shared" si="3"/>
        <v>15842.7</v>
      </c>
      <c r="P45" s="257">
        <f>B45*$N$45</f>
        <v>15842.7</v>
      </c>
      <c r="Q45" s="257">
        <f t="shared" ref="Q45:Z45" si="87">C45*$N$45</f>
        <v>0</v>
      </c>
      <c r="R45" s="257">
        <f t="shared" si="87"/>
        <v>0</v>
      </c>
      <c r="S45" s="257">
        <f t="shared" si="87"/>
        <v>0</v>
      </c>
      <c r="T45" s="257">
        <f t="shared" si="87"/>
        <v>0</v>
      </c>
      <c r="U45" s="257">
        <f t="shared" si="87"/>
        <v>0</v>
      </c>
      <c r="V45" s="257">
        <f t="shared" si="87"/>
        <v>0</v>
      </c>
      <c r="W45" s="257">
        <f t="shared" si="87"/>
        <v>0</v>
      </c>
      <c r="X45" s="257">
        <f t="shared" si="87"/>
        <v>0</v>
      </c>
      <c r="Y45" s="257">
        <f t="shared" si="87"/>
        <v>0</v>
      </c>
      <c r="Z45" s="257">
        <f t="shared" si="87"/>
        <v>0</v>
      </c>
      <c r="AA45" s="255">
        <v>15</v>
      </c>
      <c r="AB45" s="257">
        <f t="shared" si="5"/>
        <v>1056.18</v>
      </c>
      <c r="AD45" s="257">
        <f>$AB$45</f>
        <v>1056.18</v>
      </c>
      <c r="AE45" s="257">
        <f t="shared" ref="AE45:AM45" si="88">$AB$45</f>
        <v>1056.18</v>
      </c>
      <c r="AF45" s="257">
        <f t="shared" si="88"/>
        <v>1056.18</v>
      </c>
      <c r="AG45" s="257">
        <f t="shared" si="88"/>
        <v>1056.18</v>
      </c>
      <c r="AH45" s="257">
        <f t="shared" si="88"/>
        <v>1056.18</v>
      </c>
      <c r="AI45" s="257">
        <f t="shared" si="88"/>
        <v>1056.18</v>
      </c>
      <c r="AJ45" s="257">
        <f t="shared" si="88"/>
        <v>1056.18</v>
      </c>
      <c r="AK45" s="257">
        <f t="shared" si="88"/>
        <v>1056.18</v>
      </c>
      <c r="AL45" s="257">
        <f t="shared" si="88"/>
        <v>1056.18</v>
      </c>
      <c r="AM45" s="257">
        <f t="shared" si="88"/>
        <v>1056.18</v>
      </c>
      <c r="AN45" s="257">
        <f t="shared" si="7"/>
        <v>10561.800000000001</v>
      </c>
      <c r="AO45" s="257">
        <f t="shared" si="8"/>
        <v>5280.9</v>
      </c>
    </row>
    <row r="46" spans="1:41" s="253" customFormat="1" x14ac:dyDescent="0.25">
      <c r="A46" s="242" t="s">
        <v>634</v>
      </c>
      <c r="B46" s="242">
        <v>3</v>
      </c>
      <c r="C46" s="242">
        <v>0</v>
      </c>
      <c r="D46" s="242">
        <v>0</v>
      </c>
      <c r="E46" s="242">
        <v>0</v>
      </c>
      <c r="F46" s="242">
        <v>0</v>
      </c>
      <c r="G46" s="242">
        <v>0</v>
      </c>
      <c r="H46" s="242">
        <v>0</v>
      </c>
      <c r="I46" s="242">
        <v>0</v>
      </c>
      <c r="J46" s="242">
        <v>0</v>
      </c>
      <c r="K46" s="242">
        <v>0</v>
      </c>
      <c r="L46" s="242">
        <v>0</v>
      </c>
      <c r="M46" s="242">
        <f t="shared" si="2"/>
        <v>3</v>
      </c>
      <c r="N46" s="257">
        <f>'Inv Equipos'!V29</f>
        <v>31402</v>
      </c>
      <c r="O46" s="257">
        <f t="shared" si="3"/>
        <v>94206</v>
      </c>
      <c r="P46" s="257">
        <f>B46*$N$46</f>
        <v>94206</v>
      </c>
      <c r="Q46" s="257">
        <f t="shared" ref="Q46:Z46" si="89">C46*$N$46</f>
        <v>0</v>
      </c>
      <c r="R46" s="257">
        <f t="shared" si="89"/>
        <v>0</v>
      </c>
      <c r="S46" s="257">
        <f t="shared" si="89"/>
        <v>0</v>
      </c>
      <c r="T46" s="257">
        <f t="shared" si="89"/>
        <v>0</v>
      </c>
      <c r="U46" s="257">
        <f t="shared" si="89"/>
        <v>0</v>
      </c>
      <c r="V46" s="257">
        <f t="shared" si="89"/>
        <v>0</v>
      </c>
      <c r="W46" s="257">
        <f t="shared" si="89"/>
        <v>0</v>
      </c>
      <c r="X46" s="257">
        <f t="shared" si="89"/>
        <v>0</v>
      </c>
      <c r="Y46" s="257">
        <f t="shared" si="89"/>
        <v>0</v>
      </c>
      <c r="Z46" s="257">
        <f t="shared" si="89"/>
        <v>0</v>
      </c>
      <c r="AA46" s="255">
        <v>15</v>
      </c>
      <c r="AB46" s="257">
        <f t="shared" si="5"/>
        <v>6280.4</v>
      </c>
      <c r="AD46" s="257">
        <f>$AB$46</f>
        <v>6280.4</v>
      </c>
      <c r="AE46" s="257">
        <f t="shared" ref="AE46:AM46" si="90">$AB$46</f>
        <v>6280.4</v>
      </c>
      <c r="AF46" s="257">
        <f t="shared" si="90"/>
        <v>6280.4</v>
      </c>
      <c r="AG46" s="257">
        <f t="shared" si="90"/>
        <v>6280.4</v>
      </c>
      <c r="AH46" s="257">
        <f t="shared" si="90"/>
        <v>6280.4</v>
      </c>
      <c r="AI46" s="257">
        <f t="shared" si="90"/>
        <v>6280.4</v>
      </c>
      <c r="AJ46" s="257">
        <f t="shared" si="90"/>
        <v>6280.4</v>
      </c>
      <c r="AK46" s="257">
        <f t="shared" si="90"/>
        <v>6280.4</v>
      </c>
      <c r="AL46" s="257">
        <f t="shared" si="90"/>
        <v>6280.4</v>
      </c>
      <c r="AM46" s="257">
        <f t="shared" si="90"/>
        <v>6280.4</v>
      </c>
      <c r="AN46" s="257">
        <f t="shared" si="7"/>
        <v>62804.000000000007</v>
      </c>
      <c r="AO46" s="257">
        <f t="shared" si="8"/>
        <v>31401.999999999993</v>
      </c>
    </row>
    <row r="47" spans="1:41" s="253" customFormat="1" x14ac:dyDescent="0.25">
      <c r="A47" s="242" t="s">
        <v>635</v>
      </c>
      <c r="B47" s="242">
        <v>2</v>
      </c>
      <c r="C47" s="242">
        <v>0</v>
      </c>
      <c r="D47" s="242">
        <v>0</v>
      </c>
      <c r="E47" s="242">
        <v>0</v>
      </c>
      <c r="F47" s="242">
        <v>0</v>
      </c>
      <c r="G47" s="242">
        <v>0</v>
      </c>
      <c r="H47" s="242">
        <v>0</v>
      </c>
      <c r="I47" s="242">
        <v>0</v>
      </c>
      <c r="J47" s="242">
        <v>0</v>
      </c>
      <c r="K47" s="242">
        <v>0</v>
      </c>
      <c r="L47" s="242">
        <v>0</v>
      </c>
      <c r="M47" s="242">
        <f t="shared" si="2"/>
        <v>2</v>
      </c>
      <c r="N47" s="257">
        <f>'Inv Equipos'!V30</f>
        <v>30606.300000000003</v>
      </c>
      <c r="O47" s="257">
        <f t="shared" si="3"/>
        <v>61212.600000000006</v>
      </c>
      <c r="P47" s="257">
        <f>B47*$N$47</f>
        <v>61212.600000000006</v>
      </c>
      <c r="Q47" s="257">
        <f t="shared" ref="Q47:Z47" si="91">C47*$N$47</f>
        <v>0</v>
      </c>
      <c r="R47" s="257">
        <f t="shared" si="91"/>
        <v>0</v>
      </c>
      <c r="S47" s="257">
        <f t="shared" si="91"/>
        <v>0</v>
      </c>
      <c r="T47" s="257">
        <f t="shared" si="91"/>
        <v>0</v>
      </c>
      <c r="U47" s="257">
        <f t="shared" si="91"/>
        <v>0</v>
      </c>
      <c r="V47" s="257">
        <f t="shared" si="91"/>
        <v>0</v>
      </c>
      <c r="W47" s="257">
        <f t="shared" si="91"/>
        <v>0</v>
      </c>
      <c r="X47" s="257">
        <f t="shared" si="91"/>
        <v>0</v>
      </c>
      <c r="Y47" s="257">
        <f t="shared" si="91"/>
        <v>0</v>
      </c>
      <c r="Z47" s="257">
        <f t="shared" si="91"/>
        <v>0</v>
      </c>
      <c r="AA47" s="255">
        <v>15</v>
      </c>
      <c r="AB47" s="257">
        <f t="shared" si="5"/>
        <v>4080.8400000000006</v>
      </c>
      <c r="AD47" s="257">
        <f>$AB$47</f>
        <v>4080.8400000000006</v>
      </c>
      <c r="AE47" s="257">
        <f t="shared" ref="AE47:AM47" si="92">$AB$47</f>
        <v>4080.8400000000006</v>
      </c>
      <c r="AF47" s="257">
        <f t="shared" si="92"/>
        <v>4080.8400000000006</v>
      </c>
      <c r="AG47" s="257">
        <f t="shared" si="92"/>
        <v>4080.8400000000006</v>
      </c>
      <c r="AH47" s="257">
        <f t="shared" si="92"/>
        <v>4080.8400000000006</v>
      </c>
      <c r="AI47" s="257">
        <f t="shared" si="92"/>
        <v>4080.8400000000006</v>
      </c>
      <c r="AJ47" s="257">
        <f t="shared" si="92"/>
        <v>4080.8400000000006</v>
      </c>
      <c r="AK47" s="257">
        <f t="shared" si="92"/>
        <v>4080.8400000000006</v>
      </c>
      <c r="AL47" s="257">
        <f t="shared" si="92"/>
        <v>4080.8400000000006</v>
      </c>
      <c r="AM47" s="257">
        <f t="shared" si="92"/>
        <v>4080.8400000000006</v>
      </c>
      <c r="AN47" s="257">
        <f t="shared" si="7"/>
        <v>40808.400000000009</v>
      </c>
      <c r="AO47" s="257">
        <f t="shared" si="8"/>
        <v>20404.199999999997</v>
      </c>
    </row>
    <row r="48" spans="1:41" s="253" customFormat="1" x14ac:dyDescent="0.25">
      <c r="A48" s="242" t="s">
        <v>636</v>
      </c>
      <c r="B48" s="242">
        <v>1</v>
      </c>
      <c r="C48" s="242">
        <v>0</v>
      </c>
      <c r="D48" s="242">
        <v>0</v>
      </c>
      <c r="E48" s="242">
        <v>0</v>
      </c>
      <c r="F48" s="242">
        <v>0</v>
      </c>
      <c r="G48" s="242">
        <v>0</v>
      </c>
      <c r="H48" s="242">
        <v>0</v>
      </c>
      <c r="I48" s="242">
        <v>0</v>
      </c>
      <c r="J48" s="242">
        <v>0</v>
      </c>
      <c r="K48" s="242">
        <v>0</v>
      </c>
      <c r="L48" s="242">
        <v>0</v>
      </c>
      <c r="M48" s="242">
        <f t="shared" si="2"/>
        <v>1</v>
      </c>
      <c r="N48" s="257">
        <f>'Inv Equipos'!V31</f>
        <v>83759</v>
      </c>
      <c r="O48" s="257">
        <f t="shared" si="3"/>
        <v>83759</v>
      </c>
      <c r="P48" s="257">
        <f>B48*$N$48</f>
        <v>83759</v>
      </c>
      <c r="Q48" s="257">
        <f t="shared" ref="Q48:Z48" si="93">C48*$N$48</f>
        <v>0</v>
      </c>
      <c r="R48" s="257">
        <f t="shared" si="93"/>
        <v>0</v>
      </c>
      <c r="S48" s="257">
        <f t="shared" si="93"/>
        <v>0</v>
      </c>
      <c r="T48" s="257">
        <f t="shared" si="93"/>
        <v>0</v>
      </c>
      <c r="U48" s="257">
        <f t="shared" si="93"/>
        <v>0</v>
      </c>
      <c r="V48" s="257">
        <f t="shared" si="93"/>
        <v>0</v>
      </c>
      <c r="W48" s="257">
        <f t="shared" si="93"/>
        <v>0</v>
      </c>
      <c r="X48" s="257">
        <f t="shared" si="93"/>
        <v>0</v>
      </c>
      <c r="Y48" s="257">
        <f t="shared" si="93"/>
        <v>0</v>
      </c>
      <c r="Z48" s="257">
        <f t="shared" si="93"/>
        <v>0</v>
      </c>
      <c r="AA48" s="255">
        <v>15</v>
      </c>
      <c r="AB48" s="257">
        <f t="shared" si="5"/>
        <v>5583.9333333333334</v>
      </c>
      <c r="AD48" s="257">
        <f>$AB$48</f>
        <v>5583.9333333333334</v>
      </c>
      <c r="AE48" s="257">
        <f t="shared" ref="AE48:AM48" si="94">$AB$48</f>
        <v>5583.9333333333334</v>
      </c>
      <c r="AF48" s="257">
        <f t="shared" si="94"/>
        <v>5583.9333333333334</v>
      </c>
      <c r="AG48" s="257">
        <f t="shared" si="94"/>
        <v>5583.9333333333334</v>
      </c>
      <c r="AH48" s="257">
        <f t="shared" si="94"/>
        <v>5583.9333333333334</v>
      </c>
      <c r="AI48" s="257">
        <f t="shared" si="94"/>
        <v>5583.9333333333334</v>
      </c>
      <c r="AJ48" s="257">
        <f t="shared" si="94"/>
        <v>5583.9333333333334</v>
      </c>
      <c r="AK48" s="257">
        <f t="shared" si="94"/>
        <v>5583.9333333333334</v>
      </c>
      <c r="AL48" s="257">
        <f t="shared" si="94"/>
        <v>5583.9333333333334</v>
      </c>
      <c r="AM48" s="257">
        <f t="shared" si="94"/>
        <v>5583.9333333333334</v>
      </c>
      <c r="AN48" s="257">
        <f t="shared" si="7"/>
        <v>55839.333333333336</v>
      </c>
      <c r="AO48" s="257">
        <f t="shared" si="8"/>
        <v>27919.666666666664</v>
      </c>
    </row>
    <row r="49" spans="1:41" s="253" customFormat="1" x14ac:dyDescent="0.25">
      <c r="A49" s="242" t="s">
        <v>637</v>
      </c>
      <c r="B49" s="242">
        <v>1</v>
      </c>
      <c r="C49" s="242">
        <v>0</v>
      </c>
      <c r="D49" s="242">
        <v>0</v>
      </c>
      <c r="E49" s="242">
        <v>0</v>
      </c>
      <c r="F49" s="242">
        <v>0</v>
      </c>
      <c r="G49" s="242">
        <v>0</v>
      </c>
      <c r="H49" s="242">
        <v>0</v>
      </c>
      <c r="I49" s="242">
        <v>0</v>
      </c>
      <c r="J49" s="242">
        <v>0</v>
      </c>
      <c r="K49" s="242">
        <v>0</v>
      </c>
      <c r="L49" s="242">
        <v>0</v>
      </c>
      <c r="M49" s="242">
        <f t="shared" si="2"/>
        <v>1</v>
      </c>
      <c r="N49" s="257">
        <f>'Inv Equipos'!V32</f>
        <v>18902.2</v>
      </c>
      <c r="O49" s="257">
        <f t="shared" si="3"/>
        <v>18902.2</v>
      </c>
      <c r="P49" s="257">
        <f>B49*$N$49</f>
        <v>18902.2</v>
      </c>
      <c r="Q49" s="257">
        <f t="shared" ref="Q49:Z49" si="95">C49*$N$49</f>
        <v>0</v>
      </c>
      <c r="R49" s="257">
        <f t="shared" si="95"/>
        <v>0</v>
      </c>
      <c r="S49" s="257">
        <f t="shared" si="95"/>
        <v>0</v>
      </c>
      <c r="T49" s="257">
        <f t="shared" si="95"/>
        <v>0</v>
      </c>
      <c r="U49" s="257">
        <f t="shared" si="95"/>
        <v>0</v>
      </c>
      <c r="V49" s="257">
        <f t="shared" si="95"/>
        <v>0</v>
      </c>
      <c r="W49" s="257">
        <f t="shared" si="95"/>
        <v>0</v>
      </c>
      <c r="X49" s="257">
        <f t="shared" si="95"/>
        <v>0</v>
      </c>
      <c r="Y49" s="257">
        <f t="shared" si="95"/>
        <v>0</v>
      </c>
      <c r="Z49" s="257">
        <f t="shared" si="95"/>
        <v>0</v>
      </c>
      <c r="AA49" s="255">
        <v>15</v>
      </c>
      <c r="AB49" s="257">
        <f t="shared" si="5"/>
        <v>1260.1466666666668</v>
      </c>
      <c r="AD49" s="257">
        <f>$AB$49</f>
        <v>1260.1466666666668</v>
      </c>
      <c r="AE49" s="257">
        <f t="shared" ref="AE49:AM49" si="96">$AB$49</f>
        <v>1260.1466666666668</v>
      </c>
      <c r="AF49" s="257">
        <f t="shared" si="96"/>
        <v>1260.1466666666668</v>
      </c>
      <c r="AG49" s="257">
        <f t="shared" si="96"/>
        <v>1260.1466666666668</v>
      </c>
      <c r="AH49" s="257">
        <f t="shared" si="96"/>
        <v>1260.1466666666668</v>
      </c>
      <c r="AI49" s="257">
        <f t="shared" si="96"/>
        <v>1260.1466666666668</v>
      </c>
      <c r="AJ49" s="257">
        <f t="shared" si="96"/>
        <v>1260.1466666666668</v>
      </c>
      <c r="AK49" s="257">
        <f t="shared" si="96"/>
        <v>1260.1466666666668</v>
      </c>
      <c r="AL49" s="257">
        <f t="shared" si="96"/>
        <v>1260.1466666666668</v>
      </c>
      <c r="AM49" s="257">
        <f t="shared" si="96"/>
        <v>1260.1466666666668</v>
      </c>
      <c r="AN49" s="257">
        <f t="shared" si="7"/>
        <v>12601.466666666669</v>
      </c>
      <c r="AO49" s="257">
        <f t="shared" si="8"/>
        <v>6300.7333333333318</v>
      </c>
    </row>
    <row r="50" spans="1:41" s="253" customFormat="1" x14ac:dyDescent="0.25">
      <c r="A50" s="242" t="s">
        <v>638</v>
      </c>
      <c r="B50" s="242">
        <v>1</v>
      </c>
      <c r="C50" s="242">
        <v>0</v>
      </c>
      <c r="D50" s="242">
        <v>0</v>
      </c>
      <c r="E50" s="242">
        <v>0</v>
      </c>
      <c r="F50" s="242">
        <v>0</v>
      </c>
      <c r="G50" s="242">
        <v>0</v>
      </c>
      <c r="H50" s="242">
        <v>0</v>
      </c>
      <c r="I50" s="242">
        <v>0</v>
      </c>
      <c r="J50" s="242">
        <v>0</v>
      </c>
      <c r="K50" s="242">
        <v>0</v>
      </c>
      <c r="L50" s="242">
        <v>0</v>
      </c>
      <c r="M50" s="242">
        <f t="shared" si="2"/>
        <v>1</v>
      </c>
      <c r="N50" s="257">
        <f>'Inv Equipos'!V33</f>
        <v>147583.9</v>
      </c>
      <c r="O50" s="257">
        <f t="shared" si="3"/>
        <v>147583.9</v>
      </c>
      <c r="P50" s="257">
        <f>B50*$N$50</f>
        <v>147583.9</v>
      </c>
      <c r="Q50" s="257">
        <f t="shared" ref="Q50:Z50" si="97">C50*$N$50</f>
        <v>0</v>
      </c>
      <c r="R50" s="257">
        <f t="shared" si="97"/>
        <v>0</v>
      </c>
      <c r="S50" s="257">
        <f t="shared" si="97"/>
        <v>0</v>
      </c>
      <c r="T50" s="257">
        <f t="shared" si="97"/>
        <v>0</v>
      </c>
      <c r="U50" s="257">
        <f t="shared" si="97"/>
        <v>0</v>
      </c>
      <c r="V50" s="257">
        <f t="shared" si="97"/>
        <v>0</v>
      </c>
      <c r="W50" s="257">
        <f t="shared" si="97"/>
        <v>0</v>
      </c>
      <c r="X50" s="257">
        <f t="shared" si="97"/>
        <v>0</v>
      </c>
      <c r="Y50" s="257">
        <f t="shared" si="97"/>
        <v>0</v>
      </c>
      <c r="Z50" s="257">
        <f t="shared" si="97"/>
        <v>0</v>
      </c>
      <c r="AA50" s="255">
        <v>15</v>
      </c>
      <c r="AB50" s="257">
        <f t="shared" si="5"/>
        <v>9838.9266666666663</v>
      </c>
      <c r="AD50" s="257">
        <f>$AB$50</f>
        <v>9838.9266666666663</v>
      </c>
      <c r="AE50" s="257">
        <f t="shared" ref="AE50:AM50" si="98">$AB$50</f>
        <v>9838.9266666666663</v>
      </c>
      <c r="AF50" s="257">
        <f t="shared" si="98"/>
        <v>9838.9266666666663</v>
      </c>
      <c r="AG50" s="257">
        <f t="shared" si="98"/>
        <v>9838.9266666666663</v>
      </c>
      <c r="AH50" s="257">
        <f t="shared" si="98"/>
        <v>9838.9266666666663</v>
      </c>
      <c r="AI50" s="257">
        <f t="shared" si="98"/>
        <v>9838.9266666666663</v>
      </c>
      <c r="AJ50" s="257">
        <f t="shared" si="98"/>
        <v>9838.9266666666663</v>
      </c>
      <c r="AK50" s="257">
        <f t="shared" si="98"/>
        <v>9838.9266666666663</v>
      </c>
      <c r="AL50" s="257">
        <f t="shared" si="98"/>
        <v>9838.9266666666663</v>
      </c>
      <c r="AM50" s="257">
        <f t="shared" si="98"/>
        <v>9838.9266666666663</v>
      </c>
      <c r="AN50" s="257">
        <f t="shared" si="7"/>
        <v>98389.266666666663</v>
      </c>
      <c r="AO50" s="257">
        <f t="shared" si="8"/>
        <v>49194.633333333331</v>
      </c>
    </row>
    <row r="51" spans="1:41" s="253" customFormat="1" x14ac:dyDescent="0.25">
      <c r="A51" s="242" t="s">
        <v>639</v>
      </c>
      <c r="B51" s="242">
        <v>1</v>
      </c>
      <c r="C51" s="242">
        <v>0</v>
      </c>
      <c r="D51" s="242">
        <v>0</v>
      </c>
      <c r="E51" s="242">
        <v>0</v>
      </c>
      <c r="F51" s="242">
        <v>0</v>
      </c>
      <c r="G51" s="242">
        <v>0</v>
      </c>
      <c r="H51" s="242">
        <v>0</v>
      </c>
      <c r="I51" s="242">
        <v>0</v>
      </c>
      <c r="J51" s="242">
        <v>0</v>
      </c>
      <c r="K51" s="242">
        <v>0</v>
      </c>
      <c r="L51" s="242">
        <v>0</v>
      </c>
      <c r="M51" s="242">
        <f t="shared" si="2"/>
        <v>1</v>
      </c>
      <c r="N51" s="257">
        <f>'Inv Equipos'!V34</f>
        <v>23925.200000000001</v>
      </c>
      <c r="O51" s="257">
        <f t="shared" si="3"/>
        <v>23925.200000000001</v>
      </c>
      <c r="P51" s="257">
        <f>B51*$N$51</f>
        <v>23925.200000000001</v>
      </c>
      <c r="Q51" s="257">
        <f t="shared" ref="Q51:Z51" si="99">C51*$N$51</f>
        <v>0</v>
      </c>
      <c r="R51" s="257">
        <f t="shared" si="99"/>
        <v>0</v>
      </c>
      <c r="S51" s="257">
        <f t="shared" si="99"/>
        <v>0</v>
      </c>
      <c r="T51" s="257">
        <f t="shared" si="99"/>
        <v>0</v>
      </c>
      <c r="U51" s="257">
        <f t="shared" si="99"/>
        <v>0</v>
      </c>
      <c r="V51" s="257">
        <f t="shared" si="99"/>
        <v>0</v>
      </c>
      <c r="W51" s="257">
        <f t="shared" si="99"/>
        <v>0</v>
      </c>
      <c r="X51" s="257">
        <f t="shared" si="99"/>
        <v>0</v>
      </c>
      <c r="Y51" s="257">
        <f t="shared" si="99"/>
        <v>0</v>
      </c>
      <c r="Z51" s="257">
        <f t="shared" si="99"/>
        <v>0</v>
      </c>
      <c r="AA51" s="255">
        <v>15</v>
      </c>
      <c r="AB51" s="257">
        <f t="shared" si="5"/>
        <v>1595.0133333333333</v>
      </c>
      <c r="AD51" s="257">
        <f>$AB$51</f>
        <v>1595.0133333333333</v>
      </c>
      <c r="AE51" s="257">
        <f t="shared" ref="AE51:AM51" si="100">$AB$51</f>
        <v>1595.0133333333333</v>
      </c>
      <c r="AF51" s="257">
        <f t="shared" si="100"/>
        <v>1595.0133333333333</v>
      </c>
      <c r="AG51" s="257">
        <f t="shared" si="100"/>
        <v>1595.0133333333333</v>
      </c>
      <c r="AH51" s="257">
        <f t="shared" si="100"/>
        <v>1595.0133333333333</v>
      </c>
      <c r="AI51" s="257">
        <f t="shared" si="100"/>
        <v>1595.0133333333333</v>
      </c>
      <c r="AJ51" s="257">
        <f t="shared" si="100"/>
        <v>1595.0133333333333</v>
      </c>
      <c r="AK51" s="257">
        <f t="shared" si="100"/>
        <v>1595.0133333333333</v>
      </c>
      <c r="AL51" s="257">
        <f t="shared" si="100"/>
        <v>1595.0133333333333</v>
      </c>
      <c r="AM51" s="257">
        <f t="shared" si="100"/>
        <v>1595.0133333333333</v>
      </c>
      <c r="AN51" s="257">
        <f t="shared" si="7"/>
        <v>15950.133333333331</v>
      </c>
      <c r="AO51" s="257">
        <f t="shared" si="8"/>
        <v>7975.0666666666693</v>
      </c>
    </row>
    <row r="52" spans="1:41" s="253" customFormat="1" x14ac:dyDescent="0.25">
      <c r="A52" s="242" t="s">
        <v>640</v>
      </c>
      <c r="B52" s="242">
        <v>1</v>
      </c>
      <c r="C52" s="242">
        <v>0</v>
      </c>
      <c r="D52" s="242">
        <v>0</v>
      </c>
      <c r="E52" s="242">
        <v>0</v>
      </c>
      <c r="F52" s="242">
        <v>0</v>
      </c>
      <c r="G52" s="242">
        <v>0</v>
      </c>
      <c r="H52" s="242">
        <v>0</v>
      </c>
      <c r="I52" s="242">
        <v>0</v>
      </c>
      <c r="J52" s="242">
        <v>0</v>
      </c>
      <c r="K52" s="242">
        <v>0</v>
      </c>
      <c r="L52" s="242">
        <v>0</v>
      </c>
      <c r="M52" s="242">
        <f t="shared" si="2"/>
        <v>1</v>
      </c>
      <c r="N52" s="257">
        <f>'Inv Equipos'!V35</f>
        <v>19879.8</v>
      </c>
      <c r="O52" s="257">
        <f t="shared" si="3"/>
        <v>19879.8</v>
      </c>
      <c r="P52" s="257">
        <f>B52*$N$52</f>
        <v>19879.8</v>
      </c>
      <c r="Q52" s="257">
        <f t="shared" ref="Q52:Z52" si="101">C52*$N$52</f>
        <v>0</v>
      </c>
      <c r="R52" s="257">
        <f t="shared" si="101"/>
        <v>0</v>
      </c>
      <c r="S52" s="257">
        <f t="shared" si="101"/>
        <v>0</v>
      </c>
      <c r="T52" s="257">
        <f t="shared" si="101"/>
        <v>0</v>
      </c>
      <c r="U52" s="257">
        <f t="shared" si="101"/>
        <v>0</v>
      </c>
      <c r="V52" s="257">
        <f t="shared" si="101"/>
        <v>0</v>
      </c>
      <c r="W52" s="257">
        <f t="shared" si="101"/>
        <v>0</v>
      </c>
      <c r="X52" s="257">
        <f t="shared" si="101"/>
        <v>0</v>
      </c>
      <c r="Y52" s="257">
        <f t="shared" si="101"/>
        <v>0</v>
      </c>
      <c r="Z52" s="257">
        <f t="shared" si="101"/>
        <v>0</v>
      </c>
      <c r="AA52" s="255">
        <v>15</v>
      </c>
      <c r="AB52" s="257">
        <f t="shared" si="5"/>
        <v>1325.32</v>
      </c>
      <c r="AD52" s="257">
        <f>$AB$52</f>
        <v>1325.32</v>
      </c>
      <c r="AE52" s="257">
        <f t="shared" ref="AE52:AM52" si="102">$AB$52</f>
        <v>1325.32</v>
      </c>
      <c r="AF52" s="257">
        <f t="shared" si="102"/>
        <v>1325.32</v>
      </c>
      <c r="AG52" s="257">
        <f t="shared" si="102"/>
        <v>1325.32</v>
      </c>
      <c r="AH52" s="257">
        <f t="shared" si="102"/>
        <v>1325.32</v>
      </c>
      <c r="AI52" s="257">
        <f t="shared" si="102"/>
        <v>1325.32</v>
      </c>
      <c r="AJ52" s="257">
        <f t="shared" si="102"/>
        <v>1325.32</v>
      </c>
      <c r="AK52" s="257">
        <f t="shared" si="102"/>
        <v>1325.32</v>
      </c>
      <c r="AL52" s="257">
        <f t="shared" si="102"/>
        <v>1325.32</v>
      </c>
      <c r="AM52" s="257">
        <f t="shared" si="102"/>
        <v>1325.32</v>
      </c>
      <c r="AN52" s="257">
        <f t="shared" si="7"/>
        <v>13253.199999999999</v>
      </c>
      <c r="AO52" s="257">
        <f t="shared" si="8"/>
        <v>6626.6</v>
      </c>
    </row>
    <row r="53" spans="1:41" s="253" customFormat="1" x14ac:dyDescent="0.25">
      <c r="A53" s="242" t="s">
        <v>605</v>
      </c>
      <c r="B53" s="242">
        <v>2</v>
      </c>
      <c r="C53" s="242">
        <v>0</v>
      </c>
      <c r="D53" s="242">
        <v>0</v>
      </c>
      <c r="E53" s="242">
        <v>0</v>
      </c>
      <c r="F53" s="242">
        <v>0</v>
      </c>
      <c r="G53" s="242">
        <v>0</v>
      </c>
      <c r="H53" s="242">
        <v>0</v>
      </c>
      <c r="I53" s="242">
        <v>0</v>
      </c>
      <c r="J53" s="242">
        <v>0</v>
      </c>
      <c r="K53" s="242">
        <v>0</v>
      </c>
      <c r="L53" s="242">
        <v>0</v>
      </c>
      <c r="M53" s="242">
        <f t="shared" si="2"/>
        <v>2</v>
      </c>
      <c r="N53" s="257">
        <f>'Inv Equipos'!M43</f>
        <v>3080</v>
      </c>
      <c r="O53" s="257">
        <f t="shared" si="3"/>
        <v>6160</v>
      </c>
      <c r="P53" s="257">
        <f>B53*$N$53</f>
        <v>6160</v>
      </c>
      <c r="Q53" s="257">
        <f t="shared" ref="Q53:Z53" si="103">C53*$N$53</f>
        <v>0</v>
      </c>
      <c r="R53" s="257">
        <f t="shared" si="103"/>
        <v>0</v>
      </c>
      <c r="S53" s="257">
        <f t="shared" si="103"/>
        <v>0</v>
      </c>
      <c r="T53" s="257">
        <f t="shared" si="103"/>
        <v>0</v>
      </c>
      <c r="U53" s="257">
        <f t="shared" si="103"/>
        <v>0</v>
      </c>
      <c r="V53" s="257">
        <f t="shared" si="103"/>
        <v>0</v>
      </c>
      <c r="W53" s="257">
        <f t="shared" si="103"/>
        <v>0</v>
      </c>
      <c r="X53" s="257">
        <f t="shared" si="103"/>
        <v>0</v>
      </c>
      <c r="Y53" s="257">
        <f t="shared" si="103"/>
        <v>0</v>
      </c>
      <c r="Z53" s="257">
        <f t="shared" si="103"/>
        <v>0</v>
      </c>
      <c r="AA53" s="255">
        <v>15</v>
      </c>
      <c r="AB53" s="257">
        <f t="shared" si="5"/>
        <v>410.66666666666669</v>
      </c>
      <c r="AD53" s="257">
        <f>$AB$53</f>
        <v>410.66666666666669</v>
      </c>
      <c r="AE53" s="257">
        <f t="shared" ref="AE53:AM53" si="104">$AB$53</f>
        <v>410.66666666666669</v>
      </c>
      <c r="AF53" s="257">
        <f t="shared" si="104"/>
        <v>410.66666666666669</v>
      </c>
      <c r="AG53" s="257">
        <f t="shared" si="104"/>
        <v>410.66666666666669</v>
      </c>
      <c r="AH53" s="257">
        <f t="shared" si="104"/>
        <v>410.66666666666669</v>
      </c>
      <c r="AI53" s="257">
        <f t="shared" si="104"/>
        <v>410.66666666666669</v>
      </c>
      <c r="AJ53" s="257">
        <f t="shared" si="104"/>
        <v>410.66666666666669</v>
      </c>
      <c r="AK53" s="257">
        <f t="shared" si="104"/>
        <v>410.66666666666669</v>
      </c>
      <c r="AL53" s="257">
        <f t="shared" si="104"/>
        <v>410.66666666666669</v>
      </c>
      <c r="AM53" s="257">
        <f t="shared" si="104"/>
        <v>410.66666666666669</v>
      </c>
      <c r="AN53" s="257">
        <f t="shared" si="7"/>
        <v>4106.6666666666661</v>
      </c>
      <c r="AO53" s="257">
        <f t="shared" si="8"/>
        <v>2053.3333333333339</v>
      </c>
    </row>
    <row r="54" spans="1:41" s="253" customFormat="1" x14ac:dyDescent="0.25">
      <c r="A54" s="242" t="s">
        <v>606</v>
      </c>
      <c r="B54" s="242">
        <v>1</v>
      </c>
      <c r="C54" s="242">
        <v>0</v>
      </c>
      <c r="D54" s="242">
        <v>0</v>
      </c>
      <c r="E54" s="242">
        <v>0</v>
      </c>
      <c r="F54" s="242">
        <v>0</v>
      </c>
      <c r="G54" s="242">
        <v>0</v>
      </c>
      <c r="H54" s="242">
        <v>0</v>
      </c>
      <c r="I54" s="242">
        <v>0</v>
      </c>
      <c r="J54" s="242">
        <v>0</v>
      </c>
      <c r="K54" s="242">
        <v>0</v>
      </c>
      <c r="L54" s="242">
        <v>0</v>
      </c>
      <c r="M54" s="242">
        <f t="shared" si="2"/>
        <v>1</v>
      </c>
      <c r="N54" s="257">
        <f>'Inv Equipos'!M44</f>
        <v>4950</v>
      </c>
      <c r="O54" s="257">
        <f t="shared" si="3"/>
        <v>4950</v>
      </c>
      <c r="P54" s="257">
        <f>B54*$N$54</f>
        <v>4950</v>
      </c>
      <c r="Q54" s="257">
        <f t="shared" ref="Q54:Z54" si="105">C54*$N$54</f>
        <v>0</v>
      </c>
      <c r="R54" s="257">
        <f t="shared" si="105"/>
        <v>0</v>
      </c>
      <c r="S54" s="257">
        <f t="shared" si="105"/>
        <v>0</v>
      </c>
      <c r="T54" s="257">
        <f t="shared" si="105"/>
        <v>0</v>
      </c>
      <c r="U54" s="257">
        <f t="shared" si="105"/>
        <v>0</v>
      </c>
      <c r="V54" s="257">
        <f t="shared" si="105"/>
        <v>0</v>
      </c>
      <c r="W54" s="257">
        <f t="shared" si="105"/>
        <v>0</v>
      </c>
      <c r="X54" s="257">
        <f t="shared" si="105"/>
        <v>0</v>
      </c>
      <c r="Y54" s="257">
        <f t="shared" si="105"/>
        <v>0</v>
      </c>
      <c r="Z54" s="257">
        <f t="shared" si="105"/>
        <v>0</v>
      </c>
      <c r="AA54" s="255">
        <v>15</v>
      </c>
      <c r="AB54" s="257">
        <f t="shared" si="5"/>
        <v>330</v>
      </c>
      <c r="AD54" s="257">
        <f>$AB$54</f>
        <v>330</v>
      </c>
      <c r="AE54" s="257">
        <f t="shared" ref="AE54:AM54" si="106">$AB$54</f>
        <v>330</v>
      </c>
      <c r="AF54" s="257">
        <f t="shared" si="106"/>
        <v>330</v>
      </c>
      <c r="AG54" s="257">
        <f t="shared" si="106"/>
        <v>330</v>
      </c>
      <c r="AH54" s="257">
        <f t="shared" si="106"/>
        <v>330</v>
      </c>
      <c r="AI54" s="257">
        <f t="shared" si="106"/>
        <v>330</v>
      </c>
      <c r="AJ54" s="257">
        <f t="shared" si="106"/>
        <v>330</v>
      </c>
      <c r="AK54" s="257">
        <f t="shared" si="106"/>
        <v>330</v>
      </c>
      <c r="AL54" s="257">
        <f t="shared" si="106"/>
        <v>330</v>
      </c>
      <c r="AM54" s="257">
        <f t="shared" si="106"/>
        <v>330</v>
      </c>
      <c r="AN54" s="257">
        <f t="shared" si="7"/>
        <v>3300</v>
      </c>
      <c r="AO54" s="257">
        <f t="shared" si="8"/>
        <v>1650</v>
      </c>
    </row>
    <row r="55" spans="1:41" s="253" customFormat="1" x14ac:dyDescent="0.25">
      <c r="A55" s="242" t="s">
        <v>606</v>
      </c>
      <c r="B55" s="242">
        <v>0</v>
      </c>
      <c r="C55" s="242">
        <v>0</v>
      </c>
      <c r="D55" s="242">
        <v>0</v>
      </c>
      <c r="E55" s="242">
        <v>1</v>
      </c>
      <c r="F55" s="242">
        <v>0</v>
      </c>
      <c r="G55" s="242">
        <v>0</v>
      </c>
      <c r="H55" s="242">
        <v>0</v>
      </c>
      <c r="I55" s="242">
        <v>0</v>
      </c>
      <c r="J55" s="242">
        <v>0</v>
      </c>
      <c r="K55" s="242">
        <v>0</v>
      </c>
      <c r="L55" s="242">
        <v>0</v>
      </c>
      <c r="M55" s="242">
        <f t="shared" si="2"/>
        <v>1</v>
      </c>
      <c r="N55" s="257">
        <f>'Inv Equipos'!M44</f>
        <v>4950</v>
      </c>
      <c r="O55" s="257">
        <f t="shared" si="3"/>
        <v>4950</v>
      </c>
      <c r="P55" s="257">
        <f>B55*$N$55</f>
        <v>0</v>
      </c>
      <c r="Q55" s="257">
        <f t="shared" ref="Q55:Z55" si="107">C55*$N$55</f>
        <v>0</v>
      </c>
      <c r="R55" s="257">
        <f t="shared" si="107"/>
        <v>0</v>
      </c>
      <c r="S55" s="257">
        <f t="shared" si="107"/>
        <v>4950</v>
      </c>
      <c r="T55" s="257">
        <f t="shared" si="107"/>
        <v>0</v>
      </c>
      <c r="U55" s="257">
        <f t="shared" si="107"/>
        <v>0</v>
      </c>
      <c r="V55" s="257">
        <f t="shared" si="107"/>
        <v>0</v>
      </c>
      <c r="W55" s="257">
        <f t="shared" si="107"/>
        <v>0</v>
      </c>
      <c r="X55" s="257">
        <f t="shared" si="107"/>
        <v>0</v>
      </c>
      <c r="Y55" s="257">
        <f t="shared" si="107"/>
        <v>0</v>
      </c>
      <c r="Z55" s="257">
        <f t="shared" si="107"/>
        <v>0</v>
      </c>
      <c r="AA55" s="255">
        <v>15</v>
      </c>
      <c r="AB55" s="257">
        <f t="shared" si="5"/>
        <v>330</v>
      </c>
      <c r="AG55" s="257">
        <f>$AB$55</f>
        <v>330</v>
      </c>
      <c r="AH55" s="257">
        <f t="shared" ref="AH55:AM55" si="108">$AB$55</f>
        <v>330</v>
      </c>
      <c r="AI55" s="257">
        <f t="shared" si="108"/>
        <v>330</v>
      </c>
      <c r="AJ55" s="257">
        <f t="shared" si="108"/>
        <v>330</v>
      </c>
      <c r="AK55" s="257">
        <f t="shared" si="108"/>
        <v>330</v>
      </c>
      <c r="AL55" s="257">
        <f t="shared" si="108"/>
        <v>330</v>
      </c>
      <c r="AM55" s="257">
        <f t="shared" si="108"/>
        <v>330</v>
      </c>
      <c r="AN55" s="257">
        <f t="shared" si="7"/>
        <v>2310</v>
      </c>
      <c r="AO55" s="257">
        <f t="shared" si="8"/>
        <v>2640</v>
      </c>
    </row>
    <row r="56" spans="1:41" s="253" customFormat="1" x14ac:dyDescent="0.25">
      <c r="A56" s="242" t="s">
        <v>607</v>
      </c>
      <c r="B56" s="242">
        <v>1</v>
      </c>
      <c r="C56" s="242">
        <v>0</v>
      </c>
      <c r="D56" s="242">
        <v>0</v>
      </c>
      <c r="E56" s="242">
        <v>0</v>
      </c>
      <c r="F56" s="242">
        <v>0</v>
      </c>
      <c r="G56" s="242">
        <v>0</v>
      </c>
      <c r="H56" s="242">
        <v>0</v>
      </c>
      <c r="I56" s="242">
        <v>0</v>
      </c>
      <c r="J56" s="242">
        <v>0</v>
      </c>
      <c r="K56" s="242">
        <v>0</v>
      </c>
      <c r="L56" s="242">
        <v>0</v>
      </c>
      <c r="M56" s="242">
        <f t="shared" si="2"/>
        <v>1</v>
      </c>
      <c r="N56" s="257">
        <f>'Inv Equipos'!M45</f>
        <v>12320</v>
      </c>
      <c r="O56" s="257">
        <f t="shared" si="3"/>
        <v>12320</v>
      </c>
      <c r="P56" s="257">
        <f>B56*$N$56</f>
        <v>12320</v>
      </c>
      <c r="Q56" s="257">
        <f t="shared" ref="Q56:Z56" si="109">C56*$N$56</f>
        <v>0</v>
      </c>
      <c r="R56" s="257">
        <f t="shared" si="109"/>
        <v>0</v>
      </c>
      <c r="S56" s="257">
        <f t="shared" si="109"/>
        <v>0</v>
      </c>
      <c r="T56" s="257">
        <f t="shared" si="109"/>
        <v>0</v>
      </c>
      <c r="U56" s="257">
        <f t="shared" si="109"/>
        <v>0</v>
      </c>
      <c r="V56" s="257">
        <f t="shared" si="109"/>
        <v>0</v>
      </c>
      <c r="W56" s="257">
        <f t="shared" si="109"/>
        <v>0</v>
      </c>
      <c r="X56" s="257">
        <f t="shared" si="109"/>
        <v>0</v>
      </c>
      <c r="Y56" s="257">
        <f t="shared" si="109"/>
        <v>0</v>
      </c>
      <c r="Z56" s="257">
        <f t="shared" si="109"/>
        <v>0</v>
      </c>
      <c r="AA56" s="255">
        <v>15</v>
      </c>
      <c r="AB56" s="257">
        <f t="shared" si="5"/>
        <v>821.33333333333337</v>
      </c>
      <c r="AD56" s="257">
        <f>$AB$56</f>
        <v>821.33333333333337</v>
      </c>
      <c r="AE56" s="257">
        <f t="shared" ref="AE56:AM56" si="110">$AB$56</f>
        <v>821.33333333333337</v>
      </c>
      <c r="AF56" s="257">
        <f t="shared" si="110"/>
        <v>821.33333333333337</v>
      </c>
      <c r="AG56" s="257">
        <f t="shared" si="110"/>
        <v>821.33333333333337</v>
      </c>
      <c r="AH56" s="257">
        <f t="shared" si="110"/>
        <v>821.33333333333337</v>
      </c>
      <c r="AI56" s="257">
        <f t="shared" si="110"/>
        <v>821.33333333333337</v>
      </c>
      <c r="AJ56" s="257">
        <f t="shared" si="110"/>
        <v>821.33333333333337</v>
      </c>
      <c r="AK56" s="257">
        <f t="shared" si="110"/>
        <v>821.33333333333337</v>
      </c>
      <c r="AL56" s="257">
        <f t="shared" si="110"/>
        <v>821.33333333333337</v>
      </c>
      <c r="AM56" s="257">
        <f t="shared" si="110"/>
        <v>821.33333333333337</v>
      </c>
      <c r="AN56" s="257">
        <f t="shared" si="7"/>
        <v>8213.3333333333321</v>
      </c>
      <c r="AO56" s="257">
        <f t="shared" si="8"/>
        <v>4106.6666666666679</v>
      </c>
    </row>
    <row r="57" spans="1:41" s="253" customFormat="1" x14ac:dyDescent="0.25">
      <c r="A57" s="242" t="s">
        <v>607</v>
      </c>
      <c r="B57" s="242">
        <v>0</v>
      </c>
      <c r="C57" s="242">
        <v>0</v>
      </c>
      <c r="D57" s="242">
        <v>0</v>
      </c>
      <c r="E57" s="242">
        <v>1</v>
      </c>
      <c r="F57" s="242">
        <v>0</v>
      </c>
      <c r="G57" s="242">
        <v>0</v>
      </c>
      <c r="H57" s="242">
        <v>0</v>
      </c>
      <c r="I57" s="242">
        <v>0</v>
      </c>
      <c r="J57" s="242">
        <v>0</v>
      </c>
      <c r="K57" s="242">
        <v>0</v>
      </c>
      <c r="L57" s="242">
        <v>0</v>
      </c>
      <c r="M57" s="242">
        <f t="shared" si="2"/>
        <v>1</v>
      </c>
      <c r="N57" s="257">
        <f>'Inv Equipos'!M45</f>
        <v>12320</v>
      </c>
      <c r="O57" s="257">
        <f t="shared" si="3"/>
        <v>12320</v>
      </c>
      <c r="P57" s="257">
        <f>B57*$N$57</f>
        <v>0</v>
      </c>
      <c r="Q57" s="257">
        <f t="shared" ref="Q57:Z57" si="111">C57*$N$57</f>
        <v>0</v>
      </c>
      <c r="R57" s="257">
        <f t="shared" si="111"/>
        <v>0</v>
      </c>
      <c r="S57" s="257">
        <f t="shared" si="111"/>
        <v>12320</v>
      </c>
      <c r="T57" s="257">
        <f t="shared" si="111"/>
        <v>0</v>
      </c>
      <c r="U57" s="257">
        <f t="shared" si="111"/>
        <v>0</v>
      </c>
      <c r="V57" s="257">
        <f t="shared" si="111"/>
        <v>0</v>
      </c>
      <c r="W57" s="257">
        <f t="shared" si="111"/>
        <v>0</v>
      </c>
      <c r="X57" s="257">
        <f t="shared" si="111"/>
        <v>0</v>
      </c>
      <c r="Y57" s="257">
        <f t="shared" si="111"/>
        <v>0</v>
      </c>
      <c r="Z57" s="257">
        <f t="shared" si="111"/>
        <v>0</v>
      </c>
      <c r="AA57" s="255">
        <v>15</v>
      </c>
      <c r="AB57" s="257">
        <f t="shared" si="5"/>
        <v>821.33333333333337</v>
      </c>
      <c r="AG57" s="257">
        <f>$AB$57</f>
        <v>821.33333333333337</v>
      </c>
      <c r="AH57" s="257">
        <f t="shared" ref="AH57:AM57" si="112">$AB$57</f>
        <v>821.33333333333337</v>
      </c>
      <c r="AI57" s="257">
        <f t="shared" si="112"/>
        <v>821.33333333333337</v>
      </c>
      <c r="AJ57" s="257">
        <f t="shared" si="112"/>
        <v>821.33333333333337</v>
      </c>
      <c r="AK57" s="257">
        <f t="shared" si="112"/>
        <v>821.33333333333337</v>
      </c>
      <c r="AL57" s="257">
        <f t="shared" si="112"/>
        <v>821.33333333333337</v>
      </c>
      <c r="AM57" s="257">
        <f t="shared" si="112"/>
        <v>821.33333333333337</v>
      </c>
      <c r="AN57" s="257">
        <f t="shared" si="7"/>
        <v>5749.333333333333</v>
      </c>
      <c r="AO57" s="257">
        <f t="shared" si="8"/>
        <v>6570.666666666667</v>
      </c>
    </row>
    <row r="58" spans="1:41" s="253" customFormat="1" x14ac:dyDescent="0.25">
      <c r="A58" s="242" t="s">
        <v>608</v>
      </c>
      <c r="B58" s="242">
        <v>1</v>
      </c>
      <c r="C58" s="242">
        <v>0</v>
      </c>
      <c r="D58" s="242">
        <v>0</v>
      </c>
      <c r="E58" s="242">
        <v>0</v>
      </c>
      <c r="F58" s="242">
        <v>0</v>
      </c>
      <c r="G58" s="242">
        <v>0</v>
      </c>
      <c r="H58" s="242">
        <v>0</v>
      </c>
      <c r="I58" s="242">
        <v>0</v>
      </c>
      <c r="J58" s="242">
        <v>0</v>
      </c>
      <c r="K58" s="242">
        <v>0</v>
      </c>
      <c r="L58" s="242">
        <v>0</v>
      </c>
      <c r="M58" s="242">
        <f t="shared" si="2"/>
        <v>1</v>
      </c>
      <c r="N58" s="257">
        <f>'Inv Equipos'!M46</f>
        <v>39875</v>
      </c>
      <c r="O58" s="257">
        <f t="shared" si="3"/>
        <v>39875</v>
      </c>
      <c r="P58" s="257">
        <f>B58*$N$58</f>
        <v>39875</v>
      </c>
      <c r="Q58" s="257">
        <f t="shared" ref="Q58:Z58" si="113">C58*$N$58</f>
        <v>0</v>
      </c>
      <c r="R58" s="257">
        <f t="shared" si="113"/>
        <v>0</v>
      </c>
      <c r="S58" s="257">
        <f t="shared" si="113"/>
        <v>0</v>
      </c>
      <c r="T58" s="257">
        <f t="shared" si="113"/>
        <v>0</v>
      </c>
      <c r="U58" s="257">
        <f t="shared" si="113"/>
        <v>0</v>
      </c>
      <c r="V58" s="257">
        <f t="shared" si="113"/>
        <v>0</v>
      </c>
      <c r="W58" s="257">
        <f t="shared" si="113"/>
        <v>0</v>
      </c>
      <c r="X58" s="257">
        <f t="shared" si="113"/>
        <v>0</v>
      </c>
      <c r="Y58" s="257">
        <f t="shared" si="113"/>
        <v>0</v>
      </c>
      <c r="Z58" s="257">
        <f t="shared" si="113"/>
        <v>0</v>
      </c>
      <c r="AA58" s="255">
        <v>15</v>
      </c>
      <c r="AB58" s="257">
        <f t="shared" si="5"/>
        <v>2658.3333333333335</v>
      </c>
      <c r="AD58" s="257">
        <f>$AB$58</f>
        <v>2658.3333333333335</v>
      </c>
      <c r="AE58" s="257">
        <f t="shared" ref="AE58:AM58" si="114">$AB$58</f>
        <v>2658.3333333333335</v>
      </c>
      <c r="AF58" s="257">
        <f t="shared" si="114"/>
        <v>2658.3333333333335</v>
      </c>
      <c r="AG58" s="257">
        <f t="shared" si="114"/>
        <v>2658.3333333333335</v>
      </c>
      <c r="AH58" s="257">
        <f t="shared" si="114"/>
        <v>2658.3333333333335</v>
      </c>
      <c r="AI58" s="257">
        <f t="shared" si="114"/>
        <v>2658.3333333333335</v>
      </c>
      <c r="AJ58" s="257">
        <f t="shared" si="114"/>
        <v>2658.3333333333335</v>
      </c>
      <c r="AK58" s="257">
        <f t="shared" si="114"/>
        <v>2658.3333333333335</v>
      </c>
      <c r="AL58" s="257">
        <f t="shared" si="114"/>
        <v>2658.3333333333335</v>
      </c>
      <c r="AM58" s="257">
        <f t="shared" si="114"/>
        <v>2658.3333333333335</v>
      </c>
      <c r="AN58" s="257">
        <f t="shared" si="7"/>
        <v>26583.333333333332</v>
      </c>
      <c r="AO58" s="257">
        <f t="shared" si="8"/>
        <v>13291.666666666668</v>
      </c>
    </row>
    <row r="59" spans="1:41" s="253" customFormat="1" x14ac:dyDescent="0.25">
      <c r="A59" s="242" t="s">
        <v>608</v>
      </c>
      <c r="B59" s="242">
        <v>0</v>
      </c>
      <c r="C59" s="242">
        <v>0</v>
      </c>
      <c r="D59" s="242">
        <v>0</v>
      </c>
      <c r="E59" s="242">
        <v>0</v>
      </c>
      <c r="F59" s="242">
        <v>0</v>
      </c>
      <c r="G59" s="242">
        <v>1</v>
      </c>
      <c r="H59" s="242">
        <v>0</v>
      </c>
      <c r="I59" s="242">
        <v>0</v>
      </c>
      <c r="J59" s="242">
        <v>0</v>
      </c>
      <c r="K59" s="242">
        <v>0</v>
      </c>
      <c r="L59" s="242">
        <v>0</v>
      </c>
      <c r="M59" s="242">
        <f t="shared" si="2"/>
        <v>1</v>
      </c>
      <c r="N59" s="257">
        <f>'Inv Equipos'!M46</f>
        <v>39875</v>
      </c>
      <c r="O59" s="257">
        <f t="shared" si="3"/>
        <v>39875</v>
      </c>
      <c r="P59" s="257">
        <f>B59*$N$59</f>
        <v>0</v>
      </c>
      <c r="Q59" s="257">
        <f t="shared" ref="Q59:Z59" si="115">C59*$N$59</f>
        <v>0</v>
      </c>
      <c r="R59" s="257">
        <f t="shared" si="115"/>
        <v>0</v>
      </c>
      <c r="S59" s="257">
        <f t="shared" si="115"/>
        <v>0</v>
      </c>
      <c r="T59" s="257">
        <f t="shared" si="115"/>
        <v>0</v>
      </c>
      <c r="U59" s="257">
        <f t="shared" si="115"/>
        <v>39875</v>
      </c>
      <c r="V59" s="257">
        <f t="shared" si="115"/>
        <v>0</v>
      </c>
      <c r="W59" s="257">
        <f t="shared" si="115"/>
        <v>0</v>
      </c>
      <c r="X59" s="257">
        <f t="shared" si="115"/>
        <v>0</v>
      </c>
      <c r="Y59" s="257">
        <f t="shared" si="115"/>
        <v>0</v>
      </c>
      <c r="Z59" s="257">
        <f t="shared" si="115"/>
        <v>0</v>
      </c>
      <c r="AA59" s="255">
        <v>15</v>
      </c>
      <c r="AB59" s="257">
        <f t="shared" si="5"/>
        <v>2658.3333333333335</v>
      </c>
      <c r="AI59" s="257">
        <f>$AB$59</f>
        <v>2658.3333333333335</v>
      </c>
      <c r="AJ59" s="257">
        <f t="shared" ref="AJ59:AM59" si="116">$AB$59</f>
        <v>2658.3333333333335</v>
      </c>
      <c r="AK59" s="257">
        <f t="shared" si="116"/>
        <v>2658.3333333333335</v>
      </c>
      <c r="AL59" s="257">
        <f t="shared" si="116"/>
        <v>2658.3333333333335</v>
      </c>
      <c r="AM59" s="257">
        <f t="shared" si="116"/>
        <v>2658.3333333333335</v>
      </c>
      <c r="AN59" s="257">
        <f t="shared" si="7"/>
        <v>13291.666666666668</v>
      </c>
      <c r="AO59" s="257">
        <f t="shared" si="8"/>
        <v>26583.333333333332</v>
      </c>
    </row>
    <row r="60" spans="1:41" s="253" customFormat="1" x14ac:dyDescent="0.25">
      <c r="A60" s="242" t="s">
        <v>609</v>
      </c>
      <c r="B60" s="242">
        <v>2</v>
      </c>
      <c r="C60" s="242">
        <v>0</v>
      </c>
      <c r="D60" s="242">
        <v>0</v>
      </c>
      <c r="E60" s="242">
        <v>0</v>
      </c>
      <c r="F60" s="242">
        <v>0</v>
      </c>
      <c r="G60" s="242">
        <v>0</v>
      </c>
      <c r="H60" s="242">
        <v>0</v>
      </c>
      <c r="I60" s="242">
        <v>0</v>
      </c>
      <c r="J60" s="242">
        <v>0</v>
      </c>
      <c r="K60" s="242">
        <v>0</v>
      </c>
      <c r="L60" s="242">
        <v>0</v>
      </c>
      <c r="M60" s="242">
        <f>SUM(B60:L60)</f>
        <v>2</v>
      </c>
      <c r="N60" s="257">
        <f>'Inv Equipos'!M47</f>
        <v>76725</v>
      </c>
      <c r="O60" s="257">
        <f t="shared" si="3"/>
        <v>153450</v>
      </c>
      <c r="P60" s="257">
        <f>B60*$N$60</f>
        <v>153450</v>
      </c>
      <c r="Q60" s="257">
        <f t="shared" ref="Q60:Z60" si="117">C60*$N$60</f>
        <v>0</v>
      </c>
      <c r="R60" s="257">
        <f t="shared" si="117"/>
        <v>0</v>
      </c>
      <c r="S60" s="257">
        <f t="shared" si="117"/>
        <v>0</v>
      </c>
      <c r="T60" s="257">
        <f t="shared" si="117"/>
        <v>0</v>
      </c>
      <c r="U60" s="257">
        <f t="shared" si="117"/>
        <v>0</v>
      </c>
      <c r="V60" s="257">
        <f t="shared" si="117"/>
        <v>0</v>
      </c>
      <c r="W60" s="257">
        <f t="shared" si="117"/>
        <v>0</v>
      </c>
      <c r="X60" s="257">
        <f t="shared" si="117"/>
        <v>0</v>
      </c>
      <c r="Y60" s="257">
        <f t="shared" si="117"/>
        <v>0</v>
      </c>
      <c r="Z60" s="257">
        <f t="shared" si="117"/>
        <v>0</v>
      </c>
      <c r="AA60" s="255">
        <v>15</v>
      </c>
      <c r="AB60" s="257">
        <f t="shared" si="5"/>
        <v>10230</v>
      </c>
      <c r="AD60" s="257">
        <f>$AB$60</f>
        <v>10230</v>
      </c>
      <c r="AE60" s="257">
        <f t="shared" ref="AE60:AM60" si="118">$AB$60</f>
        <v>10230</v>
      </c>
      <c r="AF60" s="257">
        <f t="shared" si="118"/>
        <v>10230</v>
      </c>
      <c r="AG60" s="257">
        <f t="shared" si="118"/>
        <v>10230</v>
      </c>
      <c r="AH60" s="257">
        <f t="shared" si="118"/>
        <v>10230</v>
      </c>
      <c r="AI60" s="257">
        <f t="shared" si="118"/>
        <v>10230</v>
      </c>
      <c r="AJ60" s="257">
        <f t="shared" si="118"/>
        <v>10230</v>
      </c>
      <c r="AK60" s="257">
        <f t="shared" si="118"/>
        <v>10230</v>
      </c>
      <c r="AL60" s="257">
        <f t="shared" si="118"/>
        <v>10230</v>
      </c>
      <c r="AM60" s="257">
        <f t="shared" si="118"/>
        <v>10230</v>
      </c>
      <c r="AN60" s="257">
        <f t="shared" si="7"/>
        <v>102300</v>
      </c>
      <c r="AO60" s="257">
        <f t="shared" si="8"/>
        <v>51150</v>
      </c>
    </row>
    <row r="61" spans="1:41" s="253" customFormat="1" x14ac:dyDescent="0.25">
      <c r="A61" s="242" t="s">
        <v>168</v>
      </c>
      <c r="B61" s="242">
        <v>1</v>
      </c>
      <c r="C61" s="242">
        <v>0</v>
      </c>
      <c r="D61" s="242">
        <v>0</v>
      </c>
      <c r="E61" s="242">
        <v>0</v>
      </c>
      <c r="F61" s="242">
        <v>0</v>
      </c>
      <c r="G61" s="242">
        <v>0</v>
      </c>
      <c r="H61" s="242">
        <v>0</v>
      </c>
      <c r="I61" s="242">
        <v>0</v>
      </c>
      <c r="J61" s="242">
        <v>0</v>
      </c>
      <c r="K61" s="242">
        <v>0</v>
      </c>
      <c r="L61" s="242">
        <v>0</v>
      </c>
      <c r="M61" s="242">
        <f t="shared" ref="M61:M76" si="119">SUM(B61:L61)</f>
        <v>1</v>
      </c>
      <c r="O61" s="257">
        <f>'Cuadro Inv'!F5</f>
        <v>170000</v>
      </c>
      <c r="P61" s="257">
        <f>B61*$O$61</f>
        <v>170000</v>
      </c>
      <c r="Q61" s="257">
        <f t="shared" ref="Q61:Z61" si="120">C61*$O$61</f>
        <v>0</v>
      </c>
      <c r="R61" s="257">
        <f t="shared" si="120"/>
        <v>0</v>
      </c>
      <c r="S61" s="257">
        <f t="shared" si="120"/>
        <v>0</v>
      </c>
      <c r="T61" s="257">
        <f t="shared" si="120"/>
        <v>0</v>
      </c>
      <c r="U61" s="257">
        <f t="shared" si="120"/>
        <v>0</v>
      </c>
      <c r="V61" s="257">
        <f t="shared" si="120"/>
        <v>0</v>
      </c>
      <c r="W61" s="257">
        <f t="shared" si="120"/>
        <v>0</v>
      </c>
      <c r="X61" s="257">
        <f t="shared" si="120"/>
        <v>0</v>
      </c>
      <c r="Y61" s="257">
        <f t="shared" si="120"/>
        <v>0</v>
      </c>
      <c r="Z61" s="257">
        <f t="shared" si="120"/>
        <v>0</v>
      </c>
      <c r="AA61" s="255">
        <v>0</v>
      </c>
      <c r="AB61" s="257">
        <f t="shared" si="5"/>
        <v>0</v>
      </c>
      <c r="AD61" s="257">
        <f>$AB$61</f>
        <v>0</v>
      </c>
      <c r="AE61" s="257">
        <f t="shared" ref="AE61:AM61" si="121">$AB$61</f>
        <v>0</v>
      </c>
      <c r="AF61" s="257">
        <f t="shared" si="121"/>
        <v>0</v>
      </c>
      <c r="AG61" s="257">
        <f t="shared" si="121"/>
        <v>0</v>
      </c>
      <c r="AH61" s="257">
        <f t="shared" si="121"/>
        <v>0</v>
      </c>
      <c r="AI61" s="257">
        <f t="shared" si="121"/>
        <v>0</v>
      </c>
      <c r="AJ61" s="257">
        <f t="shared" si="121"/>
        <v>0</v>
      </c>
      <c r="AK61" s="257">
        <f t="shared" si="121"/>
        <v>0</v>
      </c>
      <c r="AL61" s="257">
        <f t="shared" si="121"/>
        <v>0</v>
      </c>
      <c r="AM61" s="257">
        <f t="shared" si="121"/>
        <v>0</v>
      </c>
      <c r="AN61" s="257">
        <f t="shared" si="7"/>
        <v>0</v>
      </c>
      <c r="AO61" s="257">
        <f t="shared" si="8"/>
        <v>170000</v>
      </c>
    </row>
    <row r="62" spans="1:41" s="253" customFormat="1" x14ac:dyDescent="0.25">
      <c r="A62" s="242" t="s">
        <v>170</v>
      </c>
      <c r="B62" s="242">
        <v>1</v>
      </c>
      <c r="C62" s="242">
        <v>0</v>
      </c>
      <c r="D62" s="242">
        <v>0</v>
      </c>
      <c r="E62" s="242">
        <v>0</v>
      </c>
      <c r="F62" s="242">
        <v>0</v>
      </c>
      <c r="G62" s="242">
        <v>0</v>
      </c>
      <c r="H62" s="242">
        <v>0</v>
      </c>
      <c r="I62" s="242">
        <v>0</v>
      </c>
      <c r="J62" s="242">
        <v>0</v>
      </c>
      <c r="K62" s="242">
        <v>0</v>
      </c>
      <c r="L62" s="242">
        <v>0</v>
      </c>
      <c r="M62" s="242">
        <f t="shared" si="119"/>
        <v>1</v>
      </c>
      <c r="O62" s="257">
        <f>'Cuadro Inv'!C6</f>
        <v>400000</v>
      </c>
      <c r="P62" s="257">
        <f>B62*$O$62</f>
        <v>400000</v>
      </c>
      <c r="Q62" s="257">
        <f t="shared" ref="Q62:Z62" si="122">C62*$O$62</f>
        <v>0</v>
      </c>
      <c r="R62" s="257">
        <f t="shared" si="122"/>
        <v>0</v>
      </c>
      <c r="S62" s="257">
        <f t="shared" si="122"/>
        <v>0</v>
      </c>
      <c r="T62" s="257">
        <f t="shared" si="122"/>
        <v>0</v>
      </c>
      <c r="U62" s="257">
        <f t="shared" si="122"/>
        <v>0</v>
      </c>
      <c r="V62" s="257">
        <f t="shared" si="122"/>
        <v>0</v>
      </c>
      <c r="W62" s="257">
        <f t="shared" si="122"/>
        <v>0</v>
      </c>
      <c r="X62" s="257">
        <f t="shared" si="122"/>
        <v>0</v>
      </c>
      <c r="Y62" s="257">
        <f t="shared" si="122"/>
        <v>0</v>
      </c>
      <c r="Z62" s="257">
        <f t="shared" si="122"/>
        <v>0</v>
      </c>
      <c r="AA62" s="255">
        <v>30</v>
      </c>
      <c r="AB62" s="257">
        <f t="shared" si="5"/>
        <v>13333.333333333334</v>
      </c>
      <c r="AD62" s="257">
        <f>$AB$62</f>
        <v>13333.333333333334</v>
      </c>
      <c r="AE62" s="257">
        <f t="shared" ref="AE62:AM62" si="123">$AB$62</f>
        <v>13333.333333333334</v>
      </c>
      <c r="AF62" s="257">
        <f t="shared" si="123"/>
        <v>13333.333333333334</v>
      </c>
      <c r="AG62" s="257">
        <f t="shared" si="123"/>
        <v>13333.333333333334</v>
      </c>
      <c r="AH62" s="257">
        <f t="shared" si="123"/>
        <v>13333.333333333334</v>
      </c>
      <c r="AI62" s="257">
        <f t="shared" si="123"/>
        <v>13333.333333333334</v>
      </c>
      <c r="AJ62" s="257">
        <f t="shared" si="123"/>
        <v>13333.333333333334</v>
      </c>
      <c r="AK62" s="257">
        <f t="shared" si="123"/>
        <v>13333.333333333334</v>
      </c>
      <c r="AL62" s="257">
        <f t="shared" si="123"/>
        <v>13333.333333333334</v>
      </c>
      <c r="AM62" s="257">
        <f t="shared" si="123"/>
        <v>13333.333333333334</v>
      </c>
      <c r="AN62" s="257">
        <f t="shared" si="7"/>
        <v>133333.33333333331</v>
      </c>
      <c r="AO62" s="257">
        <f t="shared" si="8"/>
        <v>266666.66666666669</v>
      </c>
    </row>
    <row r="63" spans="1:41" s="253" customFormat="1" x14ac:dyDescent="0.25">
      <c r="A63" s="242" t="s">
        <v>189</v>
      </c>
      <c r="B63" s="242">
        <v>1</v>
      </c>
      <c r="C63" s="242">
        <v>0</v>
      </c>
      <c r="D63" s="242">
        <v>0</v>
      </c>
      <c r="E63" s="242">
        <v>0</v>
      </c>
      <c r="F63" s="242">
        <v>0</v>
      </c>
      <c r="G63" s="242">
        <v>0</v>
      </c>
      <c r="H63" s="242">
        <v>0</v>
      </c>
      <c r="I63" s="242">
        <v>0</v>
      </c>
      <c r="J63" s="242">
        <v>0</v>
      </c>
      <c r="K63" s="242">
        <v>0</v>
      </c>
      <c r="L63" s="242">
        <v>0</v>
      </c>
      <c r="M63" s="242">
        <f t="shared" si="119"/>
        <v>1</v>
      </c>
      <c r="O63" s="257">
        <f>'Cuadro Inv'!C7</f>
        <v>1300000</v>
      </c>
      <c r="P63" s="257">
        <f>B63*$O$63</f>
        <v>1300000</v>
      </c>
      <c r="Q63" s="257">
        <f t="shared" ref="Q63:Z63" si="124">C63*$O$63</f>
        <v>0</v>
      </c>
      <c r="R63" s="257">
        <f t="shared" si="124"/>
        <v>0</v>
      </c>
      <c r="S63" s="257">
        <f t="shared" si="124"/>
        <v>0</v>
      </c>
      <c r="T63" s="257">
        <f t="shared" si="124"/>
        <v>0</v>
      </c>
      <c r="U63" s="257">
        <f t="shared" si="124"/>
        <v>0</v>
      </c>
      <c r="V63" s="257">
        <f t="shared" si="124"/>
        <v>0</v>
      </c>
      <c r="W63" s="257">
        <f t="shared" si="124"/>
        <v>0</v>
      </c>
      <c r="X63" s="257">
        <f t="shared" si="124"/>
        <v>0</v>
      </c>
      <c r="Y63" s="257">
        <f t="shared" si="124"/>
        <v>0</v>
      </c>
      <c r="Z63" s="257">
        <f t="shared" si="124"/>
        <v>0</v>
      </c>
      <c r="AA63" s="255">
        <v>30</v>
      </c>
      <c r="AB63" s="257">
        <f t="shared" si="5"/>
        <v>43333.333333333336</v>
      </c>
      <c r="AD63" s="257">
        <f>$AB$63</f>
        <v>43333.333333333336</v>
      </c>
      <c r="AE63" s="257">
        <f t="shared" ref="AE63:AM63" si="125">$AB$63</f>
        <v>43333.333333333336</v>
      </c>
      <c r="AF63" s="257">
        <f t="shared" si="125"/>
        <v>43333.333333333336</v>
      </c>
      <c r="AG63" s="257">
        <f t="shared" si="125"/>
        <v>43333.333333333336</v>
      </c>
      <c r="AH63" s="257">
        <f t="shared" si="125"/>
        <v>43333.333333333336</v>
      </c>
      <c r="AI63" s="257">
        <f t="shared" si="125"/>
        <v>43333.333333333336</v>
      </c>
      <c r="AJ63" s="257">
        <f t="shared" si="125"/>
        <v>43333.333333333336</v>
      </c>
      <c r="AK63" s="257">
        <f t="shared" si="125"/>
        <v>43333.333333333336</v>
      </c>
      <c r="AL63" s="257">
        <f t="shared" si="125"/>
        <v>43333.333333333336</v>
      </c>
      <c r="AM63" s="257">
        <f t="shared" si="125"/>
        <v>43333.333333333336</v>
      </c>
      <c r="AN63" s="257">
        <f t="shared" si="7"/>
        <v>433333.33333333331</v>
      </c>
      <c r="AO63" s="257">
        <f t="shared" si="8"/>
        <v>866666.66666666674</v>
      </c>
    </row>
    <row r="64" spans="1:41" s="253" customFormat="1" x14ac:dyDescent="0.25">
      <c r="A64" s="242" t="s">
        <v>219</v>
      </c>
      <c r="B64" s="242">
        <v>1</v>
      </c>
      <c r="C64" s="242">
        <v>0</v>
      </c>
      <c r="D64" s="242">
        <v>0</v>
      </c>
      <c r="E64" s="242">
        <v>0</v>
      </c>
      <c r="F64" s="242">
        <v>0</v>
      </c>
      <c r="G64" s="242">
        <v>0</v>
      </c>
      <c r="H64" s="242">
        <v>0</v>
      </c>
      <c r="I64" s="242">
        <v>0</v>
      </c>
      <c r="J64" s="242">
        <v>0</v>
      </c>
      <c r="K64" s="242">
        <v>0</v>
      </c>
      <c r="L64" s="242">
        <v>0</v>
      </c>
      <c r="M64" s="242">
        <f t="shared" si="119"/>
        <v>1</v>
      </c>
      <c r="O64" s="257">
        <f>'Cuadro Inv'!C9</f>
        <v>1900000</v>
      </c>
      <c r="P64" s="257">
        <f>B64*$O$64</f>
        <v>1900000</v>
      </c>
      <c r="Q64" s="257">
        <f t="shared" ref="Q64:Z64" si="126">C64*$O$64</f>
        <v>0</v>
      </c>
      <c r="R64" s="257">
        <f t="shared" si="126"/>
        <v>0</v>
      </c>
      <c r="S64" s="257">
        <f t="shared" si="126"/>
        <v>0</v>
      </c>
      <c r="T64" s="257">
        <f t="shared" si="126"/>
        <v>0</v>
      </c>
      <c r="U64" s="257">
        <f t="shared" si="126"/>
        <v>0</v>
      </c>
      <c r="V64" s="257">
        <f t="shared" si="126"/>
        <v>0</v>
      </c>
      <c r="W64" s="257">
        <f t="shared" si="126"/>
        <v>0</v>
      </c>
      <c r="X64" s="257">
        <f t="shared" si="126"/>
        <v>0</v>
      </c>
      <c r="Y64" s="257">
        <f t="shared" si="126"/>
        <v>0</v>
      </c>
      <c r="Z64" s="257">
        <f t="shared" si="126"/>
        <v>0</v>
      </c>
      <c r="AA64" s="255">
        <v>15</v>
      </c>
      <c r="AB64" s="257">
        <f t="shared" si="5"/>
        <v>126666.66666666667</v>
      </c>
      <c r="AD64" s="257">
        <f>$AB$64</f>
        <v>126666.66666666667</v>
      </c>
      <c r="AE64" s="257">
        <f t="shared" ref="AE64:AM64" si="127">$AB$64</f>
        <v>126666.66666666667</v>
      </c>
      <c r="AF64" s="257">
        <f t="shared" si="127"/>
        <v>126666.66666666667</v>
      </c>
      <c r="AG64" s="257">
        <f t="shared" si="127"/>
        <v>126666.66666666667</v>
      </c>
      <c r="AH64" s="257">
        <f t="shared" si="127"/>
        <v>126666.66666666667</v>
      </c>
      <c r="AI64" s="257">
        <f t="shared" si="127"/>
        <v>126666.66666666667</v>
      </c>
      <c r="AJ64" s="257">
        <f t="shared" si="127"/>
        <v>126666.66666666667</v>
      </c>
      <c r="AK64" s="257">
        <f t="shared" si="127"/>
        <v>126666.66666666667</v>
      </c>
      <c r="AL64" s="257">
        <f t="shared" si="127"/>
        <v>126666.66666666667</v>
      </c>
      <c r="AM64" s="257">
        <f t="shared" si="127"/>
        <v>126666.66666666667</v>
      </c>
      <c r="AN64" s="257">
        <f t="shared" si="7"/>
        <v>1266666.6666666667</v>
      </c>
      <c r="AO64" s="257">
        <f t="shared" si="8"/>
        <v>633333.33333333326</v>
      </c>
    </row>
    <row r="65" spans="1:41" s="253" customFormat="1" x14ac:dyDescent="0.25">
      <c r="A65" s="242" t="s">
        <v>208</v>
      </c>
      <c r="B65" s="242">
        <v>1</v>
      </c>
      <c r="C65" s="242">
        <v>0</v>
      </c>
      <c r="D65" s="242">
        <v>0</v>
      </c>
      <c r="E65" s="242">
        <v>0</v>
      </c>
      <c r="F65" s="242">
        <v>0</v>
      </c>
      <c r="G65" s="242">
        <v>0</v>
      </c>
      <c r="H65" s="242">
        <v>0</v>
      </c>
      <c r="I65" s="242">
        <v>0</v>
      </c>
      <c r="J65" s="242">
        <v>0</v>
      </c>
      <c r="K65" s="242">
        <v>0</v>
      </c>
      <c r="L65" s="242">
        <v>0</v>
      </c>
      <c r="M65" s="242">
        <f t="shared" si="119"/>
        <v>1</v>
      </c>
      <c r="O65" s="257">
        <f>'Cuadro Inv'!C10</f>
        <v>750000</v>
      </c>
      <c r="P65" s="257">
        <f>B65*$O$65</f>
        <v>750000</v>
      </c>
      <c r="Q65" s="257">
        <f t="shared" ref="Q65:Z65" si="128">C65*$O$65</f>
        <v>0</v>
      </c>
      <c r="R65" s="257">
        <f t="shared" si="128"/>
        <v>0</v>
      </c>
      <c r="S65" s="257">
        <f t="shared" si="128"/>
        <v>0</v>
      </c>
      <c r="T65" s="257">
        <f t="shared" si="128"/>
        <v>0</v>
      </c>
      <c r="U65" s="257">
        <f t="shared" si="128"/>
        <v>0</v>
      </c>
      <c r="V65" s="257">
        <f t="shared" si="128"/>
        <v>0</v>
      </c>
      <c r="W65" s="257">
        <f t="shared" si="128"/>
        <v>0</v>
      </c>
      <c r="X65" s="257">
        <f t="shared" si="128"/>
        <v>0</v>
      </c>
      <c r="Y65" s="257">
        <f t="shared" si="128"/>
        <v>0</v>
      </c>
      <c r="Z65" s="257">
        <f t="shared" si="128"/>
        <v>0</v>
      </c>
      <c r="AA65" s="255">
        <v>15</v>
      </c>
      <c r="AB65" s="257">
        <f t="shared" si="5"/>
        <v>50000</v>
      </c>
      <c r="AD65" s="257">
        <f>$AB$65</f>
        <v>50000</v>
      </c>
      <c r="AE65" s="257">
        <f t="shared" ref="AE65:AM65" si="129">$AB$65</f>
        <v>50000</v>
      </c>
      <c r="AF65" s="257">
        <f t="shared" si="129"/>
        <v>50000</v>
      </c>
      <c r="AG65" s="257">
        <f t="shared" si="129"/>
        <v>50000</v>
      </c>
      <c r="AH65" s="257">
        <f t="shared" si="129"/>
        <v>50000</v>
      </c>
      <c r="AI65" s="257">
        <f t="shared" si="129"/>
        <v>50000</v>
      </c>
      <c r="AJ65" s="257">
        <f t="shared" si="129"/>
        <v>50000</v>
      </c>
      <c r="AK65" s="257">
        <f t="shared" si="129"/>
        <v>50000</v>
      </c>
      <c r="AL65" s="257">
        <f t="shared" si="129"/>
        <v>50000</v>
      </c>
      <c r="AM65" s="257">
        <f t="shared" si="129"/>
        <v>50000</v>
      </c>
      <c r="AN65" s="257">
        <f t="shared" si="7"/>
        <v>500000</v>
      </c>
      <c r="AO65" s="257">
        <f t="shared" si="8"/>
        <v>250000</v>
      </c>
    </row>
    <row r="66" spans="1:41" s="253" customFormat="1" x14ac:dyDescent="0.25">
      <c r="A66" s="242" t="s">
        <v>214</v>
      </c>
      <c r="B66" s="242">
        <v>1</v>
      </c>
      <c r="C66" s="242">
        <v>0</v>
      </c>
      <c r="D66" s="242">
        <v>0</v>
      </c>
      <c r="E66" s="242">
        <v>0</v>
      </c>
      <c r="F66" s="242">
        <v>0</v>
      </c>
      <c r="G66" s="242">
        <v>0</v>
      </c>
      <c r="H66" s="242">
        <v>0</v>
      </c>
      <c r="I66" s="242">
        <v>0</v>
      </c>
      <c r="J66" s="242">
        <v>0</v>
      </c>
      <c r="K66" s="242">
        <v>0</v>
      </c>
      <c r="L66" s="242">
        <v>0</v>
      </c>
      <c r="M66" s="242">
        <f t="shared" si="119"/>
        <v>1</v>
      </c>
      <c r="O66" s="257">
        <f>'Cuadro Inv'!C11</f>
        <v>2000000</v>
      </c>
      <c r="P66" s="257">
        <f>B66*$O$66</f>
        <v>2000000</v>
      </c>
      <c r="Q66" s="257">
        <f t="shared" ref="Q66:Z66" si="130">C66*$O$66</f>
        <v>0</v>
      </c>
      <c r="R66" s="257">
        <f t="shared" si="130"/>
        <v>0</v>
      </c>
      <c r="S66" s="257">
        <f t="shared" si="130"/>
        <v>0</v>
      </c>
      <c r="T66" s="257">
        <f t="shared" si="130"/>
        <v>0</v>
      </c>
      <c r="U66" s="257">
        <f t="shared" si="130"/>
        <v>0</v>
      </c>
      <c r="V66" s="257">
        <f t="shared" si="130"/>
        <v>0</v>
      </c>
      <c r="W66" s="257">
        <f t="shared" si="130"/>
        <v>0</v>
      </c>
      <c r="X66" s="257">
        <f t="shared" si="130"/>
        <v>0</v>
      </c>
      <c r="Y66" s="257">
        <f t="shared" si="130"/>
        <v>0</v>
      </c>
      <c r="Z66" s="257">
        <f t="shared" si="130"/>
        <v>0</v>
      </c>
      <c r="AA66" s="255">
        <v>15</v>
      </c>
      <c r="AB66" s="257">
        <f t="shared" si="5"/>
        <v>133333.33333333334</v>
      </c>
      <c r="AD66" s="257">
        <f>$AB$66</f>
        <v>133333.33333333334</v>
      </c>
      <c r="AE66" s="257">
        <f t="shared" ref="AE66:AM66" si="131">$AB$66</f>
        <v>133333.33333333334</v>
      </c>
      <c r="AF66" s="257">
        <f t="shared" si="131"/>
        <v>133333.33333333334</v>
      </c>
      <c r="AG66" s="257">
        <f t="shared" si="131"/>
        <v>133333.33333333334</v>
      </c>
      <c r="AH66" s="257">
        <f t="shared" si="131"/>
        <v>133333.33333333334</v>
      </c>
      <c r="AI66" s="257">
        <f t="shared" si="131"/>
        <v>133333.33333333334</v>
      </c>
      <c r="AJ66" s="257">
        <f t="shared" si="131"/>
        <v>133333.33333333334</v>
      </c>
      <c r="AK66" s="257">
        <f t="shared" si="131"/>
        <v>133333.33333333334</v>
      </c>
      <c r="AL66" s="257">
        <f t="shared" si="131"/>
        <v>133333.33333333334</v>
      </c>
      <c r="AM66" s="257">
        <f t="shared" si="131"/>
        <v>133333.33333333334</v>
      </c>
      <c r="AN66" s="257">
        <f t="shared" si="7"/>
        <v>1333333.3333333333</v>
      </c>
      <c r="AO66" s="257">
        <f t="shared" si="8"/>
        <v>666666.66666666674</v>
      </c>
    </row>
    <row r="67" spans="1:41" s="253" customFormat="1" x14ac:dyDescent="0.25">
      <c r="A67" s="242" t="s">
        <v>216</v>
      </c>
      <c r="B67" s="242">
        <v>1</v>
      </c>
      <c r="C67" s="242">
        <v>0</v>
      </c>
      <c r="D67" s="242">
        <v>0</v>
      </c>
      <c r="E67" s="242">
        <v>0</v>
      </c>
      <c r="F67" s="242">
        <v>0</v>
      </c>
      <c r="G67" s="242">
        <v>0</v>
      </c>
      <c r="H67" s="242">
        <v>0</v>
      </c>
      <c r="I67" s="242">
        <v>0</v>
      </c>
      <c r="J67" s="242">
        <v>0</v>
      </c>
      <c r="K67" s="242">
        <v>0</v>
      </c>
      <c r="L67" s="242">
        <v>0</v>
      </c>
      <c r="M67" s="242">
        <f t="shared" si="119"/>
        <v>1</v>
      </c>
      <c r="O67" s="257">
        <f>'Cuadro Inv'!C12</f>
        <v>500000</v>
      </c>
      <c r="P67" s="257">
        <f>B67*$O$67</f>
        <v>500000</v>
      </c>
      <c r="Q67" s="257">
        <f t="shared" ref="Q67:Z67" si="132">C67*$O$67</f>
        <v>0</v>
      </c>
      <c r="R67" s="257">
        <f t="shared" si="132"/>
        <v>0</v>
      </c>
      <c r="S67" s="257">
        <f t="shared" si="132"/>
        <v>0</v>
      </c>
      <c r="T67" s="257">
        <f t="shared" si="132"/>
        <v>0</v>
      </c>
      <c r="U67" s="257">
        <f t="shared" si="132"/>
        <v>0</v>
      </c>
      <c r="V67" s="257">
        <f t="shared" si="132"/>
        <v>0</v>
      </c>
      <c r="W67" s="257">
        <f t="shared" si="132"/>
        <v>0</v>
      </c>
      <c r="X67" s="257">
        <f t="shared" si="132"/>
        <v>0</v>
      </c>
      <c r="Y67" s="257">
        <f t="shared" si="132"/>
        <v>0</v>
      </c>
      <c r="Z67" s="257">
        <f t="shared" si="132"/>
        <v>0</v>
      </c>
      <c r="AA67" s="255">
        <v>15</v>
      </c>
      <c r="AB67" s="257">
        <f t="shared" si="5"/>
        <v>33333.333333333336</v>
      </c>
      <c r="AD67" s="257">
        <f>$AB$67</f>
        <v>33333.333333333336</v>
      </c>
      <c r="AE67" s="257">
        <f t="shared" ref="AE67:AM67" si="133">$AB$67</f>
        <v>33333.333333333336</v>
      </c>
      <c r="AF67" s="257">
        <f t="shared" si="133"/>
        <v>33333.333333333336</v>
      </c>
      <c r="AG67" s="257">
        <f t="shared" si="133"/>
        <v>33333.333333333336</v>
      </c>
      <c r="AH67" s="257">
        <f t="shared" si="133"/>
        <v>33333.333333333336</v>
      </c>
      <c r="AI67" s="257">
        <f t="shared" si="133"/>
        <v>33333.333333333336</v>
      </c>
      <c r="AJ67" s="257">
        <f t="shared" si="133"/>
        <v>33333.333333333336</v>
      </c>
      <c r="AK67" s="257">
        <f t="shared" si="133"/>
        <v>33333.333333333336</v>
      </c>
      <c r="AL67" s="257">
        <f t="shared" si="133"/>
        <v>33333.333333333336</v>
      </c>
      <c r="AM67" s="257">
        <f t="shared" si="133"/>
        <v>33333.333333333336</v>
      </c>
      <c r="AN67" s="257">
        <f t="shared" si="7"/>
        <v>333333.33333333331</v>
      </c>
      <c r="AO67" s="257">
        <f t="shared" si="8"/>
        <v>166666.66666666669</v>
      </c>
    </row>
    <row r="68" spans="1:41" s="253" customFormat="1" x14ac:dyDescent="0.25">
      <c r="A68" s="242" t="s">
        <v>217</v>
      </c>
      <c r="B68" s="242">
        <v>1</v>
      </c>
      <c r="C68" s="242">
        <v>0</v>
      </c>
      <c r="D68" s="242">
        <v>0</v>
      </c>
      <c r="E68" s="242">
        <v>0</v>
      </c>
      <c r="F68" s="242">
        <v>0</v>
      </c>
      <c r="G68" s="242">
        <v>0</v>
      </c>
      <c r="H68" s="242">
        <v>0</v>
      </c>
      <c r="I68" s="242">
        <v>0</v>
      </c>
      <c r="J68" s="242">
        <v>0</v>
      </c>
      <c r="K68" s="242">
        <v>0</v>
      </c>
      <c r="L68" s="242">
        <v>0</v>
      </c>
      <c r="M68" s="242">
        <f t="shared" si="119"/>
        <v>1</v>
      </c>
      <c r="O68" s="257">
        <f>'Cuadro Inv'!C13</f>
        <v>240000</v>
      </c>
      <c r="P68" s="257">
        <f>B68*$O$68</f>
        <v>240000</v>
      </c>
      <c r="Q68" s="257">
        <f t="shared" ref="Q68:Z68" si="134">C68*$O$68</f>
        <v>0</v>
      </c>
      <c r="R68" s="257">
        <f t="shared" si="134"/>
        <v>0</v>
      </c>
      <c r="S68" s="257">
        <f t="shared" si="134"/>
        <v>0</v>
      </c>
      <c r="T68" s="257">
        <f t="shared" si="134"/>
        <v>0</v>
      </c>
      <c r="U68" s="257">
        <f t="shared" si="134"/>
        <v>0</v>
      </c>
      <c r="V68" s="257">
        <f t="shared" si="134"/>
        <v>0</v>
      </c>
      <c r="W68" s="257">
        <f t="shared" si="134"/>
        <v>0</v>
      </c>
      <c r="X68" s="257">
        <f t="shared" si="134"/>
        <v>0</v>
      </c>
      <c r="Y68" s="257">
        <f t="shared" si="134"/>
        <v>0</v>
      </c>
      <c r="Z68" s="257">
        <f t="shared" si="134"/>
        <v>0</v>
      </c>
      <c r="AA68" s="255">
        <v>15</v>
      </c>
      <c r="AB68" s="257">
        <f t="shared" si="5"/>
        <v>16000</v>
      </c>
      <c r="AD68" s="257">
        <f>$AB$68</f>
        <v>16000</v>
      </c>
      <c r="AE68" s="257">
        <f t="shared" ref="AE68:AM68" si="135">$AB$68</f>
        <v>16000</v>
      </c>
      <c r="AF68" s="257">
        <f t="shared" si="135"/>
        <v>16000</v>
      </c>
      <c r="AG68" s="257">
        <f t="shared" si="135"/>
        <v>16000</v>
      </c>
      <c r="AH68" s="257">
        <f t="shared" si="135"/>
        <v>16000</v>
      </c>
      <c r="AI68" s="257">
        <f t="shared" si="135"/>
        <v>16000</v>
      </c>
      <c r="AJ68" s="257">
        <f t="shared" si="135"/>
        <v>16000</v>
      </c>
      <c r="AK68" s="257">
        <f t="shared" si="135"/>
        <v>16000</v>
      </c>
      <c r="AL68" s="257">
        <f t="shared" si="135"/>
        <v>16000</v>
      </c>
      <c r="AM68" s="257">
        <f t="shared" si="135"/>
        <v>16000</v>
      </c>
      <c r="AN68" s="257">
        <f t="shared" si="7"/>
        <v>160000</v>
      </c>
      <c r="AO68" s="257">
        <f t="shared" si="8"/>
        <v>80000</v>
      </c>
    </row>
    <row r="69" spans="1:41" s="253" customFormat="1" x14ac:dyDescent="0.25">
      <c r="A69" s="242" t="s">
        <v>172</v>
      </c>
      <c r="B69" s="242">
        <v>1</v>
      </c>
      <c r="C69" s="242">
        <v>0</v>
      </c>
      <c r="D69" s="242">
        <v>0</v>
      </c>
      <c r="E69" s="242">
        <v>0</v>
      </c>
      <c r="F69" s="242">
        <v>0</v>
      </c>
      <c r="G69" s="242">
        <v>0</v>
      </c>
      <c r="H69" s="242">
        <v>0</v>
      </c>
      <c r="I69" s="242">
        <v>0</v>
      </c>
      <c r="J69" s="242">
        <v>0</v>
      </c>
      <c r="K69" s="242">
        <v>0</v>
      </c>
      <c r="L69" s="242">
        <v>0</v>
      </c>
      <c r="M69" s="242">
        <f t="shared" si="119"/>
        <v>1</v>
      </c>
      <c r="O69" s="257">
        <f>'Cuadro Inv'!C14</f>
        <v>20000</v>
      </c>
      <c r="P69" s="257">
        <f>B69*$O$69</f>
        <v>20000</v>
      </c>
      <c r="Q69" s="257">
        <f t="shared" ref="Q69:Z69" si="136">C69*$O$69</f>
        <v>0</v>
      </c>
      <c r="R69" s="257">
        <f t="shared" si="136"/>
        <v>0</v>
      </c>
      <c r="S69" s="257">
        <f t="shared" si="136"/>
        <v>0</v>
      </c>
      <c r="T69" s="257">
        <f t="shared" si="136"/>
        <v>0</v>
      </c>
      <c r="U69" s="257">
        <f t="shared" si="136"/>
        <v>0</v>
      </c>
      <c r="V69" s="257">
        <f t="shared" si="136"/>
        <v>0</v>
      </c>
      <c r="W69" s="257">
        <f t="shared" si="136"/>
        <v>0</v>
      </c>
      <c r="X69" s="257">
        <f t="shared" si="136"/>
        <v>0</v>
      </c>
      <c r="Y69" s="257">
        <f t="shared" si="136"/>
        <v>0</v>
      </c>
      <c r="Z69" s="257">
        <f t="shared" si="136"/>
        <v>0</v>
      </c>
      <c r="AA69" s="255">
        <v>10</v>
      </c>
      <c r="AB69" s="257">
        <f t="shared" si="5"/>
        <v>2000</v>
      </c>
      <c r="AD69" s="257">
        <f>$AB$69</f>
        <v>2000</v>
      </c>
      <c r="AE69" s="257">
        <f t="shared" ref="AE69:AM69" si="137">$AB$69</f>
        <v>2000</v>
      </c>
      <c r="AF69" s="257">
        <f t="shared" si="137"/>
        <v>2000</v>
      </c>
      <c r="AG69" s="257">
        <f t="shared" si="137"/>
        <v>2000</v>
      </c>
      <c r="AH69" s="257">
        <f t="shared" si="137"/>
        <v>2000</v>
      </c>
      <c r="AI69" s="257">
        <f t="shared" si="137"/>
        <v>2000</v>
      </c>
      <c r="AJ69" s="257">
        <f t="shared" si="137"/>
        <v>2000</v>
      </c>
      <c r="AK69" s="257">
        <f t="shared" si="137"/>
        <v>2000</v>
      </c>
      <c r="AL69" s="257">
        <f t="shared" si="137"/>
        <v>2000</v>
      </c>
      <c r="AM69" s="257">
        <f t="shared" si="137"/>
        <v>2000</v>
      </c>
      <c r="AN69" s="257">
        <f t="shared" si="7"/>
        <v>20000</v>
      </c>
      <c r="AO69" s="257">
        <f t="shared" si="8"/>
        <v>0</v>
      </c>
    </row>
    <row r="70" spans="1:41" s="253" customFormat="1" x14ac:dyDescent="0.25">
      <c r="A70" s="242" t="s">
        <v>302</v>
      </c>
      <c r="B70" s="242">
        <v>1</v>
      </c>
      <c r="C70" s="242">
        <v>0</v>
      </c>
      <c r="D70" s="242">
        <v>0</v>
      </c>
      <c r="E70" s="242">
        <v>0</v>
      </c>
      <c r="F70" s="242">
        <v>0</v>
      </c>
      <c r="G70" s="242">
        <v>0</v>
      </c>
      <c r="H70" s="242">
        <v>0</v>
      </c>
      <c r="I70" s="242">
        <v>0</v>
      </c>
      <c r="J70" s="242">
        <v>0</v>
      </c>
      <c r="K70" s="242">
        <v>0</v>
      </c>
      <c r="L70" s="242">
        <v>0</v>
      </c>
      <c r="M70" s="242">
        <f t="shared" si="119"/>
        <v>1</v>
      </c>
      <c r="O70" s="257">
        <f>'Cuadro Inv'!C15/2</f>
        <v>50000</v>
      </c>
      <c r="P70" s="257">
        <f>B70*$O$70</f>
        <v>50000</v>
      </c>
      <c r="Q70" s="257">
        <f t="shared" ref="Q70:Z70" si="138">C70*$O$70</f>
        <v>0</v>
      </c>
      <c r="R70" s="257">
        <f t="shared" si="138"/>
        <v>0</v>
      </c>
      <c r="S70" s="257">
        <f t="shared" si="138"/>
        <v>0</v>
      </c>
      <c r="T70" s="257">
        <f t="shared" si="138"/>
        <v>0</v>
      </c>
      <c r="U70" s="257">
        <f t="shared" si="138"/>
        <v>0</v>
      </c>
      <c r="V70" s="257">
        <f t="shared" si="138"/>
        <v>0</v>
      </c>
      <c r="W70" s="257">
        <f t="shared" si="138"/>
        <v>0</v>
      </c>
      <c r="X70" s="257">
        <f t="shared" si="138"/>
        <v>0</v>
      </c>
      <c r="Y70" s="257">
        <f t="shared" si="138"/>
        <v>0</v>
      </c>
      <c r="Z70" s="257">
        <f t="shared" si="138"/>
        <v>0</v>
      </c>
      <c r="AA70" s="255">
        <v>5</v>
      </c>
      <c r="AB70" s="257">
        <f t="shared" si="5"/>
        <v>10000</v>
      </c>
      <c r="AD70" s="257">
        <f>$AB$70</f>
        <v>10000</v>
      </c>
      <c r="AE70" s="257">
        <f t="shared" ref="AE70:AM71" si="139">$AB$70</f>
        <v>10000</v>
      </c>
      <c r="AF70" s="257">
        <f t="shared" si="139"/>
        <v>10000</v>
      </c>
      <c r="AG70" s="257">
        <f t="shared" si="139"/>
        <v>10000</v>
      </c>
      <c r="AH70" s="257">
        <f t="shared" si="139"/>
        <v>10000</v>
      </c>
      <c r="AN70" s="257">
        <f t="shared" si="7"/>
        <v>50000</v>
      </c>
      <c r="AO70" s="257">
        <f t="shared" ref="AO70:AO76" si="140">O70-AN70</f>
        <v>0</v>
      </c>
    </row>
    <row r="71" spans="1:41" s="253" customFormat="1" x14ac:dyDescent="0.25">
      <c r="A71" s="242" t="s">
        <v>302</v>
      </c>
      <c r="B71" s="242">
        <v>0</v>
      </c>
      <c r="C71" s="242">
        <v>0</v>
      </c>
      <c r="D71" s="242">
        <v>0</v>
      </c>
      <c r="E71" s="242">
        <v>0</v>
      </c>
      <c r="F71" s="242">
        <v>0</v>
      </c>
      <c r="G71" s="242">
        <v>0</v>
      </c>
      <c r="H71" s="242">
        <v>1</v>
      </c>
      <c r="I71" s="242">
        <v>0</v>
      </c>
      <c r="J71" s="242">
        <v>0</v>
      </c>
      <c r="K71" s="242">
        <v>0</v>
      </c>
      <c r="L71" s="242">
        <v>0</v>
      </c>
      <c r="M71" s="242">
        <f t="shared" si="119"/>
        <v>1</v>
      </c>
      <c r="O71" s="257">
        <f>'Cuadro Inv'!C15/2</f>
        <v>50000</v>
      </c>
      <c r="P71" s="257">
        <f>B71*$O$71</f>
        <v>0</v>
      </c>
      <c r="Q71" s="257">
        <f t="shared" ref="Q71:Z71" si="141">C71*$O$71</f>
        <v>0</v>
      </c>
      <c r="R71" s="257">
        <f t="shared" si="141"/>
        <v>0</v>
      </c>
      <c r="S71" s="257">
        <f t="shared" si="141"/>
        <v>0</v>
      </c>
      <c r="T71" s="257">
        <f t="shared" si="141"/>
        <v>0</v>
      </c>
      <c r="U71" s="257">
        <f t="shared" si="141"/>
        <v>0</v>
      </c>
      <c r="V71" s="257">
        <f t="shared" si="141"/>
        <v>50000</v>
      </c>
      <c r="W71" s="257">
        <f t="shared" si="141"/>
        <v>0</v>
      </c>
      <c r="X71" s="257">
        <f t="shared" si="141"/>
        <v>0</v>
      </c>
      <c r="Y71" s="257">
        <f t="shared" si="141"/>
        <v>0</v>
      </c>
      <c r="Z71" s="257">
        <f t="shared" si="141"/>
        <v>0</v>
      </c>
      <c r="AA71" s="255">
        <v>5</v>
      </c>
      <c r="AB71" s="257">
        <f t="shared" ref="AB71:AB95" si="142">IF(AA71=0,0,O71/AA71)</f>
        <v>10000</v>
      </c>
      <c r="AD71" s="257"/>
      <c r="AE71" s="257"/>
      <c r="AF71" s="257"/>
      <c r="AG71" s="257"/>
      <c r="AH71" s="257"/>
      <c r="AI71" s="257">
        <f t="shared" si="139"/>
        <v>10000</v>
      </c>
      <c r="AJ71" s="257">
        <f t="shared" si="139"/>
        <v>10000</v>
      </c>
      <c r="AK71" s="257">
        <f t="shared" si="139"/>
        <v>10000</v>
      </c>
      <c r="AL71" s="257">
        <f t="shared" si="139"/>
        <v>10000</v>
      </c>
      <c r="AM71" s="257">
        <f t="shared" si="139"/>
        <v>10000</v>
      </c>
      <c r="AN71" s="257">
        <f t="shared" ref="AN71:AN75" si="143">SUM(AD71:AM71)</f>
        <v>50000</v>
      </c>
      <c r="AO71" s="257">
        <f t="shared" si="140"/>
        <v>0</v>
      </c>
    </row>
    <row r="72" spans="1:41" s="253" customFormat="1" x14ac:dyDescent="0.25">
      <c r="A72" s="242" t="s">
        <v>295</v>
      </c>
      <c r="B72" s="242">
        <v>1</v>
      </c>
      <c r="C72" s="242">
        <v>0</v>
      </c>
      <c r="D72" s="242">
        <v>0</v>
      </c>
      <c r="E72" s="242">
        <v>0</v>
      </c>
      <c r="F72" s="242">
        <v>0</v>
      </c>
      <c r="G72" s="242">
        <v>0</v>
      </c>
      <c r="H72" s="242">
        <v>0</v>
      </c>
      <c r="I72" s="242">
        <v>0</v>
      </c>
      <c r="J72" s="242">
        <v>0</v>
      </c>
      <c r="K72" s="242">
        <v>0</v>
      </c>
      <c r="L72" s="242">
        <v>0</v>
      </c>
      <c r="M72" s="242">
        <f t="shared" si="119"/>
        <v>1</v>
      </c>
      <c r="O72" s="257">
        <f>'Cuadro Inv'!C16</f>
        <v>150000</v>
      </c>
      <c r="P72" s="257">
        <f>B72*$O$72</f>
        <v>150000</v>
      </c>
      <c r="Q72" s="257">
        <f t="shared" ref="Q72:Z72" si="144">C72*$O$72</f>
        <v>0</v>
      </c>
      <c r="R72" s="257">
        <f t="shared" si="144"/>
        <v>0</v>
      </c>
      <c r="S72" s="257">
        <f t="shared" si="144"/>
        <v>0</v>
      </c>
      <c r="T72" s="257">
        <f t="shared" si="144"/>
        <v>0</v>
      </c>
      <c r="U72" s="257">
        <f t="shared" si="144"/>
        <v>0</v>
      </c>
      <c r="V72" s="257">
        <f t="shared" si="144"/>
        <v>0</v>
      </c>
      <c r="W72" s="257">
        <f t="shared" si="144"/>
        <v>0</v>
      </c>
      <c r="X72" s="257">
        <f t="shared" si="144"/>
        <v>0</v>
      </c>
      <c r="Y72" s="257">
        <f t="shared" si="144"/>
        <v>0</v>
      </c>
      <c r="Z72" s="257">
        <f t="shared" si="144"/>
        <v>0</v>
      </c>
      <c r="AA72" s="255">
        <v>10</v>
      </c>
      <c r="AB72" s="257">
        <f t="shared" si="142"/>
        <v>15000</v>
      </c>
      <c r="AD72" s="257">
        <f>$AB$72</f>
        <v>15000</v>
      </c>
      <c r="AE72" s="257">
        <f t="shared" ref="AE72:AM72" si="145">$AB$72</f>
        <v>15000</v>
      </c>
      <c r="AF72" s="257">
        <f t="shared" si="145"/>
        <v>15000</v>
      </c>
      <c r="AG72" s="257">
        <f t="shared" si="145"/>
        <v>15000</v>
      </c>
      <c r="AH72" s="257">
        <f t="shared" si="145"/>
        <v>15000</v>
      </c>
      <c r="AI72" s="257">
        <f t="shared" si="145"/>
        <v>15000</v>
      </c>
      <c r="AJ72" s="257">
        <f t="shared" si="145"/>
        <v>15000</v>
      </c>
      <c r="AK72" s="257">
        <f t="shared" si="145"/>
        <v>15000</v>
      </c>
      <c r="AL72" s="257">
        <f t="shared" si="145"/>
        <v>15000</v>
      </c>
      <c r="AM72" s="257">
        <f t="shared" si="145"/>
        <v>15000</v>
      </c>
      <c r="AN72" s="257">
        <f t="shared" si="143"/>
        <v>150000</v>
      </c>
      <c r="AO72" s="257">
        <f t="shared" si="140"/>
        <v>0</v>
      </c>
    </row>
    <row r="73" spans="1:41" s="253" customFormat="1" x14ac:dyDescent="0.25">
      <c r="A73" s="242" t="s">
        <v>303</v>
      </c>
      <c r="B73" s="242">
        <v>1</v>
      </c>
      <c r="C73" s="242">
        <v>0</v>
      </c>
      <c r="D73" s="242">
        <v>0</v>
      </c>
      <c r="E73" s="242">
        <v>0</v>
      </c>
      <c r="F73" s="242">
        <v>0</v>
      </c>
      <c r="G73" s="242">
        <v>0</v>
      </c>
      <c r="H73" s="242">
        <v>0</v>
      </c>
      <c r="I73" s="242">
        <v>0</v>
      </c>
      <c r="J73" s="242">
        <v>0</v>
      </c>
      <c r="K73" s="242">
        <v>0</v>
      </c>
      <c r="L73" s="242">
        <v>0</v>
      </c>
      <c r="M73" s="242">
        <f t="shared" si="119"/>
        <v>1</v>
      </c>
      <c r="O73" s="257">
        <f>'Cuadro Inv'!C17/2</f>
        <v>25000</v>
      </c>
      <c r="P73" s="257">
        <f>B73*$O$73</f>
        <v>25000</v>
      </c>
      <c r="Q73" s="257">
        <f t="shared" ref="Q73:Z73" si="146">C73*$O$73</f>
        <v>0</v>
      </c>
      <c r="R73" s="257">
        <f t="shared" si="146"/>
        <v>0</v>
      </c>
      <c r="S73" s="257">
        <f t="shared" si="146"/>
        <v>0</v>
      </c>
      <c r="T73" s="257">
        <f t="shared" si="146"/>
        <v>0</v>
      </c>
      <c r="U73" s="257">
        <f t="shared" si="146"/>
        <v>0</v>
      </c>
      <c r="V73" s="257">
        <f t="shared" si="146"/>
        <v>0</v>
      </c>
      <c r="W73" s="257">
        <f t="shared" si="146"/>
        <v>0</v>
      </c>
      <c r="X73" s="257">
        <f t="shared" si="146"/>
        <v>0</v>
      </c>
      <c r="Y73" s="257">
        <f t="shared" si="146"/>
        <v>0</v>
      </c>
      <c r="Z73" s="257">
        <f t="shared" si="146"/>
        <v>0</v>
      </c>
      <c r="AA73" s="255">
        <v>5</v>
      </c>
      <c r="AB73" s="257">
        <f t="shared" si="142"/>
        <v>5000</v>
      </c>
      <c r="AD73" s="257">
        <f>$AB$73</f>
        <v>5000</v>
      </c>
      <c r="AE73" s="257">
        <f t="shared" ref="AE73:AM74" si="147">$AB$73</f>
        <v>5000</v>
      </c>
      <c r="AF73" s="257">
        <f t="shared" si="147"/>
        <v>5000</v>
      </c>
      <c r="AG73" s="257">
        <f t="shared" si="147"/>
        <v>5000</v>
      </c>
      <c r="AH73" s="257">
        <f t="shared" si="147"/>
        <v>5000</v>
      </c>
      <c r="AN73" s="257">
        <f t="shared" si="143"/>
        <v>25000</v>
      </c>
      <c r="AO73" s="257">
        <f t="shared" si="140"/>
        <v>0</v>
      </c>
    </row>
    <row r="74" spans="1:41" s="253" customFormat="1" x14ac:dyDescent="0.25">
      <c r="A74" s="242" t="s">
        <v>303</v>
      </c>
      <c r="B74" s="242">
        <v>0</v>
      </c>
      <c r="C74" s="242">
        <v>0</v>
      </c>
      <c r="D74" s="242">
        <v>0</v>
      </c>
      <c r="E74" s="242">
        <v>0</v>
      </c>
      <c r="F74" s="242">
        <v>0</v>
      </c>
      <c r="G74" s="242">
        <v>0</v>
      </c>
      <c r="H74" s="242">
        <v>1</v>
      </c>
      <c r="I74" s="242">
        <v>0</v>
      </c>
      <c r="J74" s="242">
        <v>0</v>
      </c>
      <c r="K74" s="242">
        <v>0</v>
      </c>
      <c r="L74" s="242">
        <v>0</v>
      </c>
      <c r="M74" s="242">
        <f t="shared" si="119"/>
        <v>1</v>
      </c>
      <c r="O74" s="257">
        <f>'Cuadro Inv'!C17/2</f>
        <v>25000</v>
      </c>
      <c r="P74" s="257">
        <f>B74*$O$74</f>
        <v>0</v>
      </c>
      <c r="Q74" s="257">
        <f t="shared" ref="Q74:Z74" si="148">C74*$O$74</f>
        <v>0</v>
      </c>
      <c r="R74" s="257">
        <f t="shared" si="148"/>
        <v>0</v>
      </c>
      <c r="S74" s="257">
        <f t="shared" si="148"/>
        <v>0</v>
      </c>
      <c r="T74" s="257">
        <f t="shared" si="148"/>
        <v>0</v>
      </c>
      <c r="U74" s="257">
        <f t="shared" si="148"/>
        <v>0</v>
      </c>
      <c r="V74" s="257">
        <f t="shared" si="148"/>
        <v>25000</v>
      </c>
      <c r="W74" s="257">
        <f t="shared" si="148"/>
        <v>0</v>
      </c>
      <c r="X74" s="257">
        <f t="shared" si="148"/>
        <v>0</v>
      </c>
      <c r="Y74" s="257">
        <f t="shared" si="148"/>
        <v>0</v>
      </c>
      <c r="Z74" s="257">
        <f t="shared" si="148"/>
        <v>0</v>
      </c>
      <c r="AA74" s="255">
        <v>5</v>
      </c>
      <c r="AB74" s="257">
        <f t="shared" si="142"/>
        <v>5000</v>
      </c>
      <c r="AD74" s="257"/>
      <c r="AE74" s="257"/>
      <c r="AF74" s="257"/>
      <c r="AG74" s="257"/>
      <c r="AH74" s="257"/>
      <c r="AI74" s="257">
        <f t="shared" si="147"/>
        <v>5000</v>
      </c>
      <c r="AJ74" s="257">
        <f t="shared" si="147"/>
        <v>5000</v>
      </c>
      <c r="AK74" s="257">
        <f t="shared" si="147"/>
        <v>5000</v>
      </c>
      <c r="AL74" s="257">
        <f t="shared" si="147"/>
        <v>5000</v>
      </c>
      <c r="AM74" s="257">
        <f t="shared" si="147"/>
        <v>5000</v>
      </c>
      <c r="AN74" s="257">
        <f>SUM(AD74:AM74)</f>
        <v>25000</v>
      </c>
      <c r="AO74" s="257">
        <f t="shared" si="140"/>
        <v>0</v>
      </c>
    </row>
    <row r="75" spans="1:41" s="253" customFormat="1" x14ac:dyDescent="0.25">
      <c r="A75" s="242" t="s">
        <v>173</v>
      </c>
      <c r="B75" s="242">
        <v>1</v>
      </c>
      <c r="C75" s="242">
        <v>0</v>
      </c>
      <c r="D75" s="242">
        <v>0</v>
      </c>
      <c r="E75" s="242">
        <v>0</v>
      </c>
      <c r="F75" s="242">
        <v>0</v>
      </c>
      <c r="G75" s="242">
        <v>0</v>
      </c>
      <c r="H75" s="242">
        <v>0</v>
      </c>
      <c r="I75" s="242">
        <v>0</v>
      </c>
      <c r="J75" s="242">
        <v>0</v>
      </c>
      <c r="K75" s="242">
        <v>0</v>
      </c>
      <c r="L75" s="242">
        <v>0</v>
      </c>
      <c r="M75" s="242">
        <f t="shared" si="119"/>
        <v>1</v>
      </c>
      <c r="O75" s="257">
        <f>'Cuadro Inv'!C18/2</f>
        <v>25000</v>
      </c>
      <c r="P75" s="257">
        <f>B75*$O$75</f>
        <v>25000</v>
      </c>
      <c r="Q75" s="257">
        <f t="shared" ref="Q75:Z75" si="149">C75*$O$75</f>
        <v>0</v>
      </c>
      <c r="R75" s="257">
        <f t="shared" si="149"/>
        <v>0</v>
      </c>
      <c r="S75" s="257">
        <f t="shared" si="149"/>
        <v>0</v>
      </c>
      <c r="T75" s="257">
        <f t="shared" si="149"/>
        <v>0</v>
      </c>
      <c r="U75" s="257">
        <f t="shared" si="149"/>
        <v>0</v>
      </c>
      <c r="V75" s="257">
        <f t="shared" si="149"/>
        <v>0</v>
      </c>
      <c r="W75" s="257">
        <f t="shared" si="149"/>
        <v>0</v>
      </c>
      <c r="X75" s="257">
        <f t="shared" si="149"/>
        <v>0</v>
      </c>
      <c r="Y75" s="257">
        <f t="shared" si="149"/>
        <v>0</v>
      </c>
      <c r="Z75" s="257">
        <f t="shared" si="149"/>
        <v>0</v>
      </c>
      <c r="AA75" s="255">
        <v>5</v>
      </c>
      <c r="AB75" s="257">
        <f t="shared" si="142"/>
        <v>5000</v>
      </c>
      <c r="AD75" s="257">
        <f>$AB$75</f>
        <v>5000</v>
      </c>
      <c r="AE75" s="257">
        <f t="shared" ref="AD75:AM76" si="150">$AB$75</f>
        <v>5000</v>
      </c>
      <c r="AF75" s="257">
        <f t="shared" si="150"/>
        <v>5000</v>
      </c>
      <c r="AG75" s="257">
        <f t="shared" si="150"/>
        <v>5000</v>
      </c>
      <c r="AH75" s="257">
        <f t="shared" si="150"/>
        <v>5000</v>
      </c>
      <c r="AI75" s="257">
        <f t="shared" si="150"/>
        <v>5000</v>
      </c>
      <c r="AJ75" s="257">
        <f t="shared" si="150"/>
        <v>5000</v>
      </c>
      <c r="AK75" s="257">
        <f t="shared" si="150"/>
        <v>5000</v>
      </c>
      <c r="AL75" s="257">
        <f t="shared" si="150"/>
        <v>5000</v>
      </c>
      <c r="AM75" s="257">
        <f t="shared" si="150"/>
        <v>5000</v>
      </c>
      <c r="AN75" s="257">
        <f t="shared" si="143"/>
        <v>50000</v>
      </c>
      <c r="AO75" s="257">
        <f t="shared" si="140"/>
        <v>-25000</v>
      </c>
    </row>
    <row r="76" spans="1:41" s="253" customFormat="1" x14ac:dyDescent="0.25">
      <c r="A76" s="242" t="s">
        <v>173</v>
      </c>
      <c r="B76" s="242">
        <v>0</v>
      </c>
      <c r="C76" s="242">
        <v>0</v>
      </c>
      <c r="D76" s="242">
        <v>0</v>
      </c>
      <c r="E76" s="242">
        <v>0</v>
      </c>
      <c r="F76" s="242">
        <v>0</v>
      </c>
      <c r="G76" s="242">
        <v>0</v>
      </c>
      <c r="H76" s="242">
        <v>1</v>
      </c>
      <c r="I76" s="242">
        <v>0</v>
      </c>
      <c r="J76" s="242">
        <v>0</v>
      </c>
      <c r="K76" s="242">
        <v>0</v>
      </c>
      <c r="L76" s="242">
        <v>0</v>
      </c>
      <c r="M76" s="242">
        <f t="shared" si="119"/>
        <v>1</v>
      </c>
      <c r="O76" s="257">
        <f>'Cuadro Inv'!C18/2</f>
        <v>25000</v>
      </c>
      <c r="P76" s="257">
        <f>B76*$O$76</f>
        <v>0</v>
      </c>
      <c r="Q76" s="257">
        <f t="shared" ref="Q76:Z76" si="151">C76*$O$76</f>
        <v>0</v>
      </c>
      <c r="R76" s="257">
        <f t="shared" si="151"/>
        <v>0</v>
      </c>
      <c r="S76" s="257">
        <f t="shared" si="151"/>
        <v>0</v>
      </c>
      <c r="T76" s="257">
        <f t="shared" si="151"/>
        <v>0</v>
      </c>
      <c r="U76" s="257">
        <f t="shared" si="151"/>
        <v>0</v>
      </c>
      <c r="V76" s="257">
        <f t="shared" si="151"/>
        <v>25000</v>
      </c>
      <c r="W76" s="257">
        <f t="shared" si="151"/>
        <v>0</v>
      </c>
      <c r="X76" s="257">
        <f t="shared" si="151"/>
        <v>0</v>
      </c>
      <c r="Y76" s="257">
        <f t="shared" si="151"/>
        <v>0</v>
      </c>
      <c r="Z76" s="257">
        <f t="shared" si="151"/>
        <v>0</v>
      </c>
      <c r="AA76" s="255">
        <v>5</v>
      </c>
      <c r="AB76" s="257">
        <f t="shared" si="142"/>
        <v>5000</v>
      </c>
      <c r="AD76" s="257">
        <f t="shared" si="150"/>
        <v>5000</v>
      </c>
      <c r="AE76" s="257">
        <f t="shared" si="150"/>
        <v>5000</v>
      </c>
      <c r="AF76" s="257">
        <f t="shared" si="150"/>
        <v>5000</v>
      </c>
      <c r="AG76" s="257">
        <f t="shared" si="150"/>
        <v>5000</v>
      </c>
      <c r="AH76" s="257">
        <f t="shared" si="150"/>
        <v>5000</v>
      </c>
      <c r="AI76" s="257">
        <f t="shared" si="150"/>
        <v>5000</v>
      </c>
      <c r="AJ76" s="257">
        <f t="shared" si="150"/>
        <v>5000</v>
      </c>
      <c r="AK76" s="257">
        <f t="shared" si="150"/>
        <v>5000</v>
      </c>
      <c r="AL76" s="257">
        <f t="shared" si="150"/>
        <v>5000</v>
      </c>
      <c r="AM76" s="257">
        <f t="shared" si="150"/>
        <v>5000</v>
      </c>
      <c r="AN76" s="257">
        <f>SUM(AD76:AM76)</f>
        <v>50000</v>
      </c>
      <c r="AO76" s="257">
        <f t="shared" si="140"/>
        <v>-25000</v>
      </c>
    </row>
    <row r="77" spans="1:41" s="253" customFormat="1" x14ac:dyDescent="0.25">
      <c r="O77" s="257"/>
      <c r="P77" s="259">
        <f>SUM(P6:P76)</f>
        <v>10006681.903528612</v>
      </c>
      <c r="Q77" s="259">
        <f t="shared" ref="Q77:Z77" si="152">SUM(Q6:Q76)</f>
        <v>137300.43920000002</v>
      </c>
      <c r="R77" s="259">
        <f t="shared" si="152"/>
        <v>0</v>
      </c>
      <c r="S77" s="259">
        <f t="shared" si="152"/>
        <v>338384.4</v>
      </c>
      <c r="T77" s="259">
        <f t="shared" si="152"/>
        <v>236428.43932861101</v>
      </c>
      <c r="U77" s="259">
        <f t="shared" si="152"/>
        <v>39875</v>
      </c>
      <c r="V77" s="259">
        <f t="shared" si="152"/>
        <v>237300.43920000002</v>
      </c>
      <c r="W77" s="259">
        <f t="shared" si="152"/>
        <v>0</v>
      </c>
      <c r="X77" s="259">
        <f t="shared" si="152"/>
        <v>0</v>
      </c>
      <c r="Y77" s="259">
        <f t="shared" si="152"/>
        <v>0</v>
      </c>
      <c r="Z77" s="259">
        <f t="shared" si="152"/>
        <v>0</v>
      </c>
      <c r="AA77" s="259"/>
      <c r="AB77" s="259"/>
      <c r="AC77" s="259">
        <f t="shared" ref="AC77" si="153">SUM(AC6:AC76)</f>
        <v>0</v>
      </c>
      <c r="AD77" s="259">
        <f t="shared" ref="AD77" si="154">SUM(AD6:AD76)</f>
        <v>623112.12690190738</v>
      </c>
      <c r="AE77" s="259">
        <f t="shared" ref="AE77" si="155">SUM(AE6:AE76)</f>
        <v>632265.48951524077</v>
      </c>
      <c r="AF77" s="259">
        <f t="shared" ref="AF77" si="156">SUM(AF6:AF76)</f>
        <v>632265.48951524077</v>
      </c>
      <c r="AG77" s="259">
        <f t="shared" ref="AG77" si="157">SUM(AG6:AG76)</f>
        <v>654824.44951524085</v>
      </c>
      <c r="AH77" s="259">
        <f t="shared" ref="AH77" si="158">SUM(AH6:AH76)</f>
        <v>670586.34547048155</v>
      </c>
      <c r="AI77" s="259">
        <f t="shared" ref="AI77" si="159">SUM(AI6:AI76)</f>
        <v>673244.67880381492</v>
      </c>
      <c r="AJ77" s="259">
        <f t="shared" ref="AJ77" si="160">SUM(AJ6:AJ76)</f>
        <v>682398.0414171482</v>
      </c>
      <c r="AK77" s="259">
        <f t="shared" ref="AK77" si="161">SUM(AK6:AK76)</f>
        <v>682398.0414171482</v>
      </c>
      <c r="AL77" s="259">
        <f t="shared" ref="AL77" si="162">SUM(AL6:AL76)</f>
        <v>682398.0414171482</v>
      </c>
      <c r="AM77" s="259">
        <f t="shared" ref="AM77" si="163">SUM(AM6:AM76)</f>
        <v>682398.0414171482</v>
      </c>
      <c r="AN77" s="259">
        <f t="shared" ref="AN77" si="164">SUM(AN6:AN76)</f>
        <v>6615890.7453905176</v>
      </c>
      <c r="AO77" s="259">
        <f t="shared" ref="AO77" si="165">SUM(AO6:AO76)</f>
        <v>4380079.8758667046</v>
      </c>
    </row>
    <row r="78" spans="1:41" s="253" customFormat="1" x14ac:dyDescent="0.25">
      <c r="A78" s="242" t="s">
        <v>174</v>
      </c>
      <c r="B78" s="253">
        <v>1</v>
      </c>
      <c r="C78" s="253">
        <v>0</v>
      </c>
      <c r="D78" s="253">
        <v>0</v>
      </c>
      <c r="E78" s="253">
        <v>0</v>
      </c>
      <c r="F78" s="253">
        <v>0</v>
      </c>
      <c r="G78" s="253">
        <v>0</v>
      </c>
      <c r="H78" s="253">
        <v>0</v>
      </c>
      <c r="I78" s="253">
        <v>0</v>
      </c>
      <c r="J78" s="253">
        <v>0</v>
      </c>
      <c r="K78" s="253">
        <v>0</v>
      </c>
      <c r="L78" s="253">
        <v>0</v>
      </c>
      <c r="M78" s="253">
        <v>0</v>
      </c>
      <c r="O78" s="257">
        <f>'Cuadro Inv'!D19</f>
        <v>380000</v>
      </c>
      <c r="P78" s="257">
        <f t="shared" ref="P78:P84" si="166">B78*O78</f>
        <v>380000</v>
      </c>
      <c r="Q78" s="257">
        <f t="shared" ref="Q78:Q84" si="167">C78*P78</f>
        <v>0</v>
      </c>
      <c r="R78" s="257">
        <f t="shared" ref="R78:R84" si="168">D78*Q78</f>
        <v>0</v>
      </c>
      <c r="S78" s="257">
        <f t="shared" ref="S78:S84" si="169">E78*R78</f>
        <v>0</v>
      </c>
      <c r="T78" s="257">
        <f t="shared" ref="T78:T84" si="170">F78*S78</f>
        <v>0</v>
      </c>
      <c r="U78" s="257">
        <f t="shared" ref="U78:U84" si="171">G78*T78</f>
        <v>0</v>
      </c>
      <c r="V78" s="257">
        <f t="shared" ref="V78:V84" si="172">H78*U78</f>
        <v>0</v>
      </c>
      <c r="W78" s="257">
        <f t="shared" ref="W78:W84" si="173">I78*V78</f>
        <v>0</v>
      </c>
      <c r="X78" s="257">
        <f t="shared" ref="X78:X84" si="174">J78*W78</f>
        <v>0</v>
      </c>
      <c r="Y78" s="257">
        <f t="shared" ref="Y78:Y84" si="175">K78*X78</f>
        <v>0</v>
      </c>
      <c r="Z78" s="257">
        <f t="shared" ref="Z78:Z84" si="176">L78*Y78</f>
        <v>0</v>
      </c>
      <c r="AA78" s="255">
        <v>5</v>
      </c>
      <c r="AB78" s="257">
        <f t="shared" si="142"/>
        <v>76000</v>
      </c>
      <c r="AD78" s="257">
        <f>$AB$78</f>
        <v>76000</v>
      </c>
      <c r="AE78" s="257">
        <f t="shared" ref="AE78:AH78" si="177">$AB$78</f>
        <v>76000</v>
      </c>
      <c r="AF78" s="257">
        <f t="shared" si="177"/>
        <v>76000</v>
      </c>
      <c r="AG78" s="257">
        <f t="shared" si="177"/>
        <v>76000</v>
      </c>
      <c r="AH78" s="257">
        <f t="shared" si="177"/>
        <v>76000</v>
      </c>
      <c r="AN78" s="257">
        <f t="shared" ref="AN78:AN95" si="178">SUM(AD78:AM78)</f>
        <v>380000</v>
      </c>
      <c r="AO78" s="257">
        <f t="shared" ref="AO78:AO84" si="179">O78-AN78</f>
        <v>0</v>
      </c>
    </row>
    <row r="79" spans="1:41" s="253" customFormat="1" x14ac:dyDescent="0.25">
      <c r="A79" s="242" t="s">
        <v>176</v>
      </c>
      <c r="B79" s="253">
        <v>1</v>
      </c>
      <c r="C79" s="253">
        <v>0</v>
      </c>
      <c r="D79" s="253">
        <v>0</v>
      </c>
      <c r="E79" s="253">
        <v>0</v>
      </c>
      <c r="F79" s="253">
        <v>0</v>
      </c>
      <c r="G79" s="253">
        <v>0</v>
      </c>
      <c r="H79" s="253">
        <v>0</v>
      </c>
      <c r="I79" s="253">
        <v>0</v>
      </c>
      <c r="J79" s="253">
        <v>0</v>
      </c>
      <c r="K79" s="253">
        <v>0</v>
      </c>
      <c r="L79" s="253">
        <v>0</v>
      </c>
      <c r="M79" s="253">
        <v>0</v>
      </c>
      <c r="O79" s="257">
        <f>'Cuadro Inv'!D20</f>
        <v>570000</v>
      </c>
      <c r="P79" s="257">
        <f t="shared" si="166"/>
        <v>570000</v>
      </c>
      <c r="Q79" s="257">
        <f t="shared" si="167"/>
        <v>0</v>
      </c>
      <c r="R79" s="257">
        <f t="shared" si="168"/>
        <v>0</v>
      </c>
      <c r="S79" s="257">
        <f t="shared" si="169"/>
        <v>0</v>
      </c>
      <c r="T79" s="257">
        <f t="shared" si="170"/>
        <v>0</v>
      </c>
      <c r="U79" s="257">
        <f t="shared" si="171"/>
        <v>0</v>
      </c>
      <c r="V79" s="257">
        <f t="shared" si="172"/>
        <v>0</v>
      </c>
      <c r="W79" s="257">
        <f t="shared" si="173"/>
        <v>0</v>
      </c>
      <c r="X79" s="257">
        <f t="shared" si="174"/>
        <v>0</v>
      </c>
      <c r="Y79" s="257">
        <f t="shared" si="175"/>
        <v>0</v>
      </c>
      <c r="Z79" s="257">
        <f t="shared" si="176"/>
        <v>0</v>
      </c>
      <c r="AA79" s="255">
        <v>5</v>
      </c>
      <c r="AB79" s="257">
        <f t="shared" si="142"/>
        <v>114000</v>
      </c>
      <c r="AD79" s="257">
        <f>$AB$79</f>
        <v>114000</v>
      </c>
      <c r="AE79" s="257">
        <f t="shared" ref="AE79:AH79" si="180">$AB$79</f>
        <v>114000</v>
      </c>
      <c r="AF79" s="257">
        <f t="shared" si="180"/>
        <v>114000</v>
      </c>
      <c r="AG79" s="257">
        <f t="shared" si="180"/>
        <v>114000</v>
      </c>
      <c r="AH79" s="257">
        <f t="shared" si="180"/>
        <v>114000</v>
      </c>
      <c r="AN79" s="257">
        <f t="shared" si="178"/>
        <v>570000</v>
      </c>
      <c r="AO79" s="257">
        <f t="shared" si="179"/>
        <v>0</v>
      </c>
    </row>
    <row r="80" spans="1:41" s="253" customFormat="1" x14ac:dyDescent="0.25">
      <c r="A80" s="242" t="s">
        <v>306</v>
      </c>
      <c r="B80" s="253">
        <v>1</v>
      </c>
      <c r="C80" s="253">
        <v>0</v>
      </c>
      <c r="D80" s="253">
        <v>0</v>
      </c>
      <c r="E80" s="253">
        <v>0</v>
      </c>
      <c r="F80" s="253">
        <v>0</v>
      </c>
      <c r="G80" s="253">
        <v>0</v>
      </c>
      <c r="H80" s="253">
        <v>0</v>
      </c>
      <c r="I80" s="253">
        <v>0</v>
      </c>
      <c r="J80" s="253">
        <v>0</v>
      </c>
      <c r="K80" s="253">
        <v>0</v>
      </c>
      <c r="L80" s="253">
        <v>0</v>
      </c>
      <c r="M80" s="253">
        <v>0</v>
      </c>
      <c r="O80" s="257">
        <f>'Cuadro Inv'!D21</f>
        <v>2150000</v>
      </c>
      <c r="P80" s="257">
        <f t="shared" si="166"/>
        <v>2150000</v>
      </c>
      <c r="Q80" s="257">
        <f t="shared" si="167"/>
        <v>0</v>
      </c>
      <c r="R80" s="257">
        <f t="shared" si="168"/>
        <v>0</v>
      </c>
      <c r="S80" s="257">
        <f t="shared" si="169"/>
        <v>0</v>
      </c>
      <c r="T80" s="257">
        <f t="shared" si="170"/>
        <v>0</v>
      </c>
      <c r="U80" s="257">
        <f t="shared" si="171"/>
        <v>0</v>
      </c>
      <c r="V80" s="257">
        <f t="shared" si="172"/>
        <v>0</v>
      </c>
      <c r="W80" s="257">
        <f t="shared" si="173"/>
        <v>0</v>
      </c>
      <c r="X80" s="257">
        <f t="shared" si="174"/>
        <v>0</v>
      </c>
      <c r="Y80" s="257">
        <f t="shared" si="175"/>
        <v>0</v>
      </c>
      <c r="Z80" s="257">
        <f t="shared" si="176"/>
        <v>0</v>
      </c>
      <c r="AA80" s="255">
        <v>5</v>
      </c>
      <c r="AB80" s="257">
        <f t="shared" si="142"/>
        <v>430000</v>
      </c>
      <c r="AD80" s="257">
        <f>$AB$80</f>
        <v>430000</v>
      </c>
      <c r="AE80" s="257">
        <f t="shared" ref="AE80:AH80" si="181">$AB$80</f>
        <v>430000</v>
      </c>
      <c r="AF80" s="257">
        <f t="shared" si="181"/>
        <v>430000</v>
      </c>
      <c r="AG80" s="257">
        <f t="shared" si="181"/>
        <v>430000</v>
      </c>
      <c r="AH80" s="257">
        <f t="shared" si="181"/>
        <v>430000</v>
      </c>
      <c r="AN80" s="257">
        <f t="shared" si="178"/>
        <v>2150000</v>
      </c>
      <c r="AO80" s="257">
        <f t="shared" si="179"/>
        <v>0</v>
      </c>
    </row>
    <row r="81" spans="1:41" s="253" customFormat="1" x14ac:dyDescent="0.25">
      <c r="A81" s="242" t="s">
        <v>304</v>
      </c>
      <c r="B81" s="253">
        <v>1</v>
      </c>
      <c r="C81" s="253">
        <v>0</v>
      </c>
      <c r="D81" s="253">
        <v>0</v>
      </c>
      <c r="E81" s="253">
        <v>0</v>
      </c>
      <c r="F81" s="253">
        <v>0</v>
      </c>
      <c r="G81" s="253">
        <v>0</v>
      </c>
      <c r="H81" s="253">
        <v>0</v>
      </c>
      <c r="I81" s="253">
        <v>0</v>
      </c>
      <c r="J81" s="253">
        <v>0</v>
      </c>
      <c r="K81" s="253">
        <v>0</v>
      </c>
      <c r="L81" s="253">
        <v>0</v>
      </c>
      <c r="M81" s="253">
        <v>0</v>
      </c>
      <c r="O81" s="257">
        <f>'Cuadro Inv'!D22</f>
        <v>120000</v>
      </c>
      <c r="P81" s="257">
        <f t="shared" si="166"/>
        <v>120000</v>
      </c>
      <c r="Q81" s="257">
        <f t="shared" si="167"/>
        <v>0</v>
      </c>
      <c r="R81" s="257">
        <f t="shared" si="168"/>
        <v>0</v>
      </c>
      <c r="S81" s="257">
        <f t="shared" si="169"/>
        <v>0</v>
      </c>
      <c r="T81" s="257">
        <f t="shared" si="170"/>
        <v>0</v>
      </c>
      <c r="U81" s="257">
        <f t="shared" si="171"/>
        <v>0</v>
      </c>
      <c r="V81" s="257">
        <f t="shared" si="172"/>
        <v>0</v>
      </c>
      <c r="W81" s="257">
        <f t="shared" si="173"/>
        <v>0</v>
      </c>
      <c r="X81" s="257">
        <f t="shared" si="174"/>
        <v>0</v>
      </c>
      <c r="Y81" s="257">
        <f t="shared" si="175"/>
        <v>0</v>
      </c>
      <c r="Z81" s="257">
        <f t="shared" si="176"/>
        <v>0</v>
      </c>
      <c r="AA81" s="255">
        <v>5</v>
      </c>
      <c r="AB81" s="257">
        <f t="shared" si="142"/>
        <v>24000</v>
      </c>
      <c r="AD81" s="257">
        <f>$AB$81</f>
        <v>24000</v>
      </c>
      <c r="AE81" s="257">
        <f t="shared" ref="AE81:AH81" si="182">$AB$81</f>
        <v>24000</v>
      </c>
      <c r="AF81" s="257">
        <f t="shared" si="182"/>
        <v>24000</v>
      </c>
      <c r="AG81" s="257">
        <f t="shared" si="182"/>
        <v>24000</v>
      </c>
      <c r="AH81" s="257">
        <f t="shared" si="182"/>
        <v>24000</v>
      </c>
      <c r="AN81" s="257">
        <f t="shared" si="178"/>
        <v>120000</v>
      </c>
      <c r="AO81" s="257">
        <f t="shared" si="179"/>
        <v>0</v>
      </c>
    </row>
    <row r="82" spans="1:41" s="253" customFormat="1" x14ac:dyDescent="0.25">
      <c r="A82" s="242" t="s">
        <v>178</v>
      </c>
      <c r="B82" s="253">
        <v>1</v>
      </c>
      <c r="C82" s="253">
        <v>0</v>
      </c>
      <c r="D82" s="253">
        <v>0</v>
      </c>
      <c r="E82" s="253">
        <v>0</v>
      </c>
      <c r="F82" s="253">
        <v>0</v>
      </c>
      <c r="G82" s="253">
        <v>0</v>
      </c>
      <c r="H82" s="253">
        <v>0</v>
      </c>
      <c r="I82" s="253">
        <v>0</v>
      </c>
      <c r="J82" s="253">
        <v>0</v>
      </c>
      <c r="K82" s="253">
        <v>0</v>
      </c>
      <c r="L82" s="253">
        <v>0</v>
      </c>
      <c r="M82" s="253">
        <v>0</v>
      </c>
      <c r="O82" s="257">
        <f>'Cuadro Inv'!D23</f>
        <v>80000</v>
      </c>
      <c r="P82" s="257">
        <f t="shared" si="166"/>
        <v>80000</v>
      </c>
      <c r="Q82" s="257">
        <f t="shared" si="167"/>
        <v>0</v>
      </c>
      <c r="R82" s="257">
        <f t="shared" si="168"/>
        <v>0</v>
      </c>
      <c r="S82" s="257">
        <f t="shared" si="169"/>
        <v>0</v>
      </c>
      <c r="T82" s="257">
        <f t="shared" si="170"/>
        <v>0</v>
      </c>
      <c r="U82" s="257">
        <f t="shared" si="171"/>
        <v>0</v>
      </c>
      <c r="V82" s="257">
        <f t="shared" si="172"/>
        <v>0</v>
      </c>
      <c r="W82" s="257">
        <f t="shared" si="173"/>
        <v>0</v>
      </c>
      <c r="X82" s="257">
        <f t="shared" si="174"/>
        <v>0</v>
      </c>
      <c r="Y82" s="257">
        <f t="shared" si="175"/>
        <v>0</v>
      </c>
      <c r="Z82" s="257">
        <f t="shared" si="176"/>
        <v>0</v>
      </c>
      <c r="AA82" s="255">
        <v>5</v>
      </c>
      <c r="AB82" s="257">
        <f t="shared" si="142"/>
        <v>16000</v>
      </c>
      <c r="AD82" s="257">
        <f>$AB$82</f>
        <v>16000</v>
      </c>
      <c r="AE82" s="257">
        <f t="shared" ref="AE82:AH82" si="183">$AB$82</f>
        <v>16000</v>
      </c>
      <c r="AF82" s="257">
        <f t="shared" si="183"/>
        <v>16000</v>
      </c>
      <c r="AG82" s="257">
        <f t="shared" si="183"/>
        <v>16000</v>
      </c>
      <c r="AH82" s="257">
        <f t="shared" si="183"/>
        <v>16000</v>
      </c>
      <c r="AN82" s="257">
        <f t="shared" si="178"/>
        <v>80000</v>
      </c>
      <c r="AO82" s="257">
        <f t="shared" si="179"/>
        <v>0</v>
      </c>
    </row>
    <row r="83" spans="1:41" s="253" customFormat="1" x14ac:dyDescent="0.25">
      <c r="A83" s="242" t="s">
        <v>177</v>
      </c>
      <c r="B83" s="253">
        <v>1</v>
      </c>
      <c r="C83" s="253">
        <v>0</v>
      </c>
      <c r="D83" s="253">
        <v>0</v>
      </c>
      <c r="E83" s="253">
        <v>0</v>
      </c>
      <c r="F83" s="253">
        <v>0</v>
      </c>
      <c r="G83" s="253">
        <v>0</v>
      </c>
      <c r="H83" s="253">
        <v>0</v>
      </c>
      <c r="I83" s="253">
        <v>0</v>
      </c>
      <c r="J83" s="253">
        <v>0</v>
      </c>
      <c r="K83" s="253">
        <v>0</v>
      </c>
      <c r="L83" s="253">
        <v>0</v>
      </c>
      <c r="M83" s="253">
        <v>0</v>
      </c>
      <c r="O83" s="257">
        <f>'Cuadro Inv'!D24</f>
        <v>200000</v>
      </c>
      <c r="P83" s="257">
        <f t="shared" si="166"/>
        <v>200000</v>
      </c>
      <c r="Q83" s="257">
        <f t="shared" si="167"/>
        <v>0</v>
      </c>
      <c r="R83" s="257">
        <f t="shared" si="168"/>
        <v>0</v>
      </c>
      <c r="S83" s="257">
        <f t="shared" si="169"/>
        <v>0</v>
      </c>
      <c r="T83" s="257">
        <f t="shared" si="170"/>
        <v>0</v>
      </c>
      <c r="U83" s="257">
        <f t="shared" si="171"/>
        <v>0</v>
      </c>
      <c r="V83" s="257">
        <f t="shared" si="172"/>
        <v>0</v>
      </c>
      <c r="W83" s="257">
        <f t="shared" si="173"/>
        <v>0</v>
      </c>
      <c r="X83" s="257">
        <f t="shared" si="174"/>
        <v>0</v>
      </c>
      <c r="Y83" s="257">
        <f t="shared" si="175"/>
        <v>0</v>
      </c>
      <c r="Z83" s="257">
        <f t="shared" si="176"/>
        <v>0</v>
      </c>
      <c r="AA83" s="255">
        <v>5</v>
      </c>
      <c r="AB83" s="257">
        <f t="shared" si="142"/>
        <v>40000</v>
      </c>
      <c r="AD83" s="257">
        <f>$AB$83</f>
        <v>40000</v>
      </c>
      <c r="AE83" s="257">
        <f t="shared" ref="AE83:AH83" si="184">$AB$83</f>
        <v>40000</v>
      </c>
      <c r="AF83" s="257">
        <f t="shared" si="184"/>
        <v>40000</v>
      </c>
      <c r="AG83" s="257">
        <f t="shared" si="184"/>
        <v>40000</v>
      </c>
      <c r="AH83" s="257">
        <f t="shared" si="184"/>
        <v>40000</v>
      </c>
      <c r="AN83" s="257">
        <f t="shared" si="178"/>
        <v>200000</v>
      </c>
      <c r="AO83" s="257">
        <f t="shared" si="179"/>
        <v>0</v>
      </c>
    </row>
    <row r="84" spans="1:41" s="253" customFormat="1" x14ac:dyDescent="0.25">
      <c r="A84" s="242" t="s">
        <v>280</v>
      </c>
      <c r="B84" s="253">
        <v>1</v>
      </c>
      <c r="C84" s="253">
        <v>0</v>
      </c>
      <c r="D84" s="253">
        <v>0</v>
      </c>
      <c r="E84" s="253">
        <v>0</v>
      </c>
      <c r="F84" s="253">
        <v>0</v>
      </c>
      <c r="G84" s="253">
        <v>0</v>
      </c>
      <c r="H84" s="253">
        <v>0</v>
      </c>
      <c r="I84" s="253">
        <v>0</v>
      </c>
      <c r="J84" s="253">
        <v>0</v>
      </c>
      <c r="K84" s="253">
        <v>0</v>
      </c>
      <c r="L84" s="253">
        <v>0</v>
      </c>
      <c r="M84" s="253">
        <v>0</v>
      </c>
      <c r="O84" s="257">
        <f>'Cuadro Inv'!D25</f>
        <v>100000</v>
      </c>
      <c r="P84" s="257">
        <f t="shared" si="166"/>
        <v>100000</v>
      </c>
      <c r="Q84" s="257">
        <f t="shared" si="167"/>
        <v>0</v>
      </c>
      <c r="R84" s="257">
        <f t="shared" si="168"/>
        <v>0</v>
      </c>
      <c r="S84" s="257">
        <f t="shared" si="169"/>
        <v>0</v>
      </c>
      <c r="T84" s="257">
        <f t="shared" si="170"/>
        <v>0</v>
      </c>
      <c r="U84" s="257">
        <f t="shared" si="171"/>
        <v>0</v>
      </c>
      <c r="V84" s="257">
        <f t="shared" si="172"/>
        <v>0</v>
      </c>
      <c r="W84" s="257">
        <f t="shared" si="173"/>
        <v>0</v>
      </c>
      <c r="X84" s="257">
        <f t="shared" si="174"/>
        <v>0</v>
      </c>
      <c r="Y84" s="257">
        <f t="shared" si="175"/>
        <v>0</v>
      </c>
      <c r="Z84" s="257">
        <f t="shared" si="176"/>
        <v>0</v>
      </c>
      <c r="AA84" s="255">
        <v>5</v>
      </c>
      <c r="AB84" s="257">
        <f t="shared" si="142"/>
        <v>20000</v>
      </c>
      <c r="AD84" s="257">
        <f>$AB$84</f>
        <v>20000</v>
      </c>
      <c r="AE84" s="257">
        <f t="shared" ref="AE84:AH85" si="185">$AB$84</f>
        <v>20000</v>
      </c>
      <c r="AF84" s="257">
        <f t="shared" si="185"/>
        <v>20000</v>
      </c>
      <c r="AG84" s="257">
        <f t="shared" si="185"/>
        <v>20000</v>
      </c>
      <c r="AH84" s="257">
        <f t="shared" si="185"/>
        <v>20000</v>
      </c>
      <c r="AN84" s="257">
        <f t="shared" si="178"/>
        <v>100000</v>
      </c>
      <c r="AO84" s="257">
        <f t="shared" si="179"/>
        <v>0</v>
      </c>
    </row>
    <row r="85" spans="1:41" s="253" customFormat="1" x14ac:dyDescent="0.25">
      <c r="A85" s="242" t="s">
        <v>286</v>
      </c>
      <c r="B85" s="253">
        <v>1</v>
      </c>
      <c r="C85" s="253">
        <v>0</v>
      </c>
      <c r="D85" s="253">
        <v>0</v>
      </c>
      <c r="E85" s="253">
        <v>0</v>
      </c>
      <c r="F85" s="253">
        <v>0</v>
      </c>
      <c r="G85" s="253">
        <v>0</v>
      </c>
      <c r="H85" s="253">
        <v>0</v>
      </c>
      <c r="I85" s="253">
        <v>0</v>
      </c>
      <c r="J85" s="253">
        <v>0</v>
      </c>
      <c r="K85" s="253">
        <v>0</v>
      </c>
      <c r="L85" s="253">
        <v>0</v>
      </c>
      <c r="M85" s="253">
        <v>0</v>
      </c>
      <c r="O85" s="257">
        <f>'Cuadro Inv'!D26</f>
        <v>100000</v>
      </c>
      <c r="P85" s="257">
        <f t="shared" ref="P85" si="186">B85*O85</f>
        <v>100000</v>
      </c>
      <c r="Q85" s="257">
        <f t="shared" ref="Q85" si="187">C85*P85</f>
        <v>0</v>
      </c>
      <c r="R85" s="257">
        <f t="shared" ref="R85" si="188">D85*Q85</f>
        <v>0</v>
      </c>
      <c r="S85" s="257">
        <f t="shared" ref="S85" si="189">E85*R85</f>
        <v>0</v>
      </c>
      <c r="T85" s="257">
        <f t="shared" ref="T85" si="190">F85*S85</f>
        <v>0</v>
      </c>
      <c r="U85" s="257">
        <f t="shared" ref="U85" si="191">G85*T85</f>
        <v>0</v>
      </c>
      <c r="V85" s="257">
        <f t="shared" ref="V85" si="192">H85*U85</f>
        <v>0</v>
      </c>
      <c r="W85" s="257">
        <f t="shared" ref="W85" si="193">I85*V85</f>
        <v>0</v>
      </c>
      <c r="X85" s="257">
        <f t="shared" ref="X85" si="194">J85*W85</f>
        <v>0</v>
      </c>
      <c r="Y85" s="257">
        <f t="shared" ref="Y85" si="195">K85*X85</f>
        <v>0</v>
      </c>
      <c r="Z85" s="257">
        <f t="shared" ref="Z85" si="196">L85*Y85</f>
        <v>0</v>
      </c>
      <c r="AA85" s="255">
        <v>6</v>
      </c>
      <c r="AB85" s="257">
        <f t="shared" ref="AB85" si="197">IF(AA85=0,0,O85/AA85)</f>
        <v>16666.666666666668</v>
      </c>
      <c r="AD85" s="257">
        <f>$AB$84</f>
        <v>20000</v>
      </c>
      <c r="AE85" s="257">
        <f t="shared" si="185"/>
        <v>20000</v>
      </c>
      <c r="AF85" s="257">
        <f t="shared" si="185"/>
        <v>20000</v>
      </c>
      <c r="AG85" s="257">
        <f t="shared" si="185"/>
        <v>20000</v>
      </c>
      <c r="AH85" s="257">
        <f t="shared" si="185"/>
        <v>20000</v>
      </c>
      <c r="AN85" s="257">
        <f t="shared" ref="AN85" si="198">SUM(AD85:AM85)</f>
        <v>100000</v>
      </c>
      <c r="AO85" s="257">
        <f t="shared" ref="AO85" si="199">O85-AN85</f>
        <v>0</v>
      </c>
    </row>
    <row r="86" spans="1:41" s="253" customFormat="1" x14ac:dyDescent="0.25">
      <c r="A86" s="242" t="s">
        <v>175</v>
      </c>
      <c r="B86" s="253">
        <v>1</v>
      </c>
      <c r="C86" s="253">
        <v>0</v>
      </c>
      <c r="D86" s="253">
        <v>0</v>
      </c>
      <c r="E86" s="253">
        <v>0</v>
      </c>
      <c r="F86" s="253">
        <v>0</v>
      </c>
      <c r="G86" s="253">
        <v>0</v>
      </c>
      <c r="H86" s="253">
        <v>0</v>
      </c>
      <c r="I86" s="253">
        <v>0</v>
      </c>
      <c r="J86" s="253">
        <v>0</v>
      </c>
      <c r="K86" s="253">
        <v>0</v>
      </c>
      <c r="L86" s="253">
        <v>0</v>
      </c>
      <c r="M86" s="253">
        <v>0</v>
      </c>
      <c r="O86" s="257">
        <f>'Cuadro Inv'!D27</f>
        <v>460000</v>
      </c>
      <c r="P86" s="257">
        <f t="shared" ref="P86:Z86" si="200">B86*O86</f>
        <v>460000</v>
      </c>
      <c r="Q86" s="257">
        <f t="shared" si="200"/>
        <v>0</v>
      </c>
      <c r="R86" s="257">
        <f t="shared" si="200"/>
        <v>0</v>
      </c>
      <c r="S86" s="257">
        <f t="shared" si="200"/>
        <v>0</v>
      </c>
      <c r="T86" s="257">
        <f t="shared" si="200"/>
        <v>0</v>
      </c>
      <c r="U86" s="257">
        <f t="shared" si="200"/>
        <v>0</v>
      </c>
      <c r="V86" s="257">
        <f t="shared" si="200"/>
        <v>0</v>
      </c>
      <c r="W86" s="257">
        <f t="shared" si="200"/>
        <v>0</v>
      </c>
      <c r="X86" s="257">
        <f t="shared" si="200"/>
        <v>0</v>
      </c>
      <c r="Y86" s="257">
        <f t="shared" si="200"/>
        <v>0</v>
      </c>
      <c r="Z86" s="257">
        <f t="shared" si="200"/>
        <v>0</v>
      </c>
      <c r="AA86" s="255">
        <v>5</v>
      </c>
      <c r="AB86" s="257">
        <f>IF(AA86=0,0,O86/AA86)</f>
        <v>92000</v>
      </c>
      <c r="AD86" s="257">
        <f>$AB$86</f>
        <v>92000</v>
      </c>
      <c r="AE86" s="257">
        <f>$AB$86</f>
        <v>92000</v>
      </c>
      <c r="AF86" s="257">
        <f>$AB$86</f>
        <v>92000</v>
      </c>
      <c r="AG86" s="257">
        <f>$AB$86</f>
        <v>92000</v>
      </c>
      <c r="AH86" s="257">
        <f>$AB$86</f>
        <v>92000</v>
      </c>
      <c r="AN86" s="257">
        <f>SUM(AD86:AM86)</f>
        <v>460000</v>
      </c>
      <c r="AO86" s="257">
        <f>O86-AN86</f>
        <v>0</v>
      </c>
    </row>
    <row r="87" spans="1:41" s="253" customFormat="1" x14ac:dyDescent="0.25">
      <c r="O87" s="257"/>
      <c r="P87" s="259">
        <f t="shared" ref="P87:Z87" si="201">SUM(P78:P86)</f>
        <v>4160000</v>
      </c>
      <c r="Q87" s="259">
        <f t="shared" si="201"/>
        <v>0</v>
      </c>
      <c r="R87" s="259">
        <f t="shared" si="201"/>
        <v>0</v>
      </c>
      <c r="S87" s="259">
        <f t="shared" si="201"/>
        <v>0</v>
      </c>
      <c r="T87" s="259">
        <f t="shared" si="201"/>
        <v>0</v>
      </c>
      <c r="U87" s="259">
        <f t="shared" si="201"/>
        <v>0</v>
      </c>
      <c r="V87" s="259">
        <f t="shared" si="201"/>
        <v>0</v>
      </c>
      <c r="W87" s="259">
        <f t="shared" si="201"/>
        <v>0</v>
      </c>
      <c r="X87" s="259">
        <f t="shared" si="201"/>
        <v>0</v>
      </c>
      <c r="Y87" s="259">
        <f t="shared" si="201"/>
        <v>0</v>
      </c>
      <c r="Z87" s="259">
        <f t="shared" si="201"/>
        <v>0</v>
      </c>
      <c r="AA87" s="259"/>
      <c r="AB87" s="259"/>
      <c r="AC87" s="259">
        <f t="shared" ref="AC87:AO87" si="202">SUM(AC78:AC86)</f>
        <v>0</v>
      </c>
      <c r="AD87" s="259">
        <f t="shared" si="202"/>
        <v>832000</v>
      </c>
      <c r="AE87" s="259">
        <f t="shared" si="202"/>
        <v>832000</v>
      </c>
      <c r="AF87" s="259">
        <f t="shared" si="202"/>
        <v>832000</v>
      </c>
      <c r="AG87" s="259">
        <f t="shared" si="202"/>
        <v>832000</v>
      </c>
      <c r="AH87" s="259">
        <f t="shared" si="202"/>
        <v>832000</v>
      </c>
      <c r="AI87" s="259">
        <f t="shared" si="202"/>
        <v>0</v>
      </c>
      <c r="AJ87" s="259">
        <f t="shared" si="202"/>
        <v>0</v>
      </c>
      <c r="AK87" s="259">
        <f t="shared" si="202"/>
        <v>0</v>
      </c>
      <c r="AL87" s="259">
        <f t="shared" si="202"/>
        <v>0</v>
      </c>
      <c r="AM87" s="259">
        <f t="shared" si="202"/>
        <v>0</v>
      </c>
      <c r="AN87" s="259">
        <f t="shared" si="202"/>
        <v>4160000</v>
      </c>
      <c r="AO87" s="259">
        <f t="shared" si="202"/>
        <v>0</v>
      </c>
    </row>
    <row r="88" spans="1:41" s="253" customFormat="1" x14ac:dyDescent="0.25">
      <c r="A88" s="242" t="s">
        <v>179</v>
      </c>
      <c r="B88" s="253">
        <v>1</v>
      </c>
      <c r="C88" s="253">
        <v>0</v>
      </c>
      <c r="D88" s="253">
        <v>0</v>
      </c>
      <c r="E88" s="253">
        <v>0</v>
      </c>
      <c r="F88" s="253">
        <v>0</v>
      </c>
      <c r="G88" s="253">
        <v>0</v>
      </c>
      <c r="H88" s="253">
        <v>0</v>
      </c>
      <c r="I88" s="253">
        <v>0</v>
      </c>
      <c r="J88" s="253">
        <v>0</v>
      </c>
      <c r="K88" s="253">
        <v>0</v>
      </c>
      <c r="L88" s="253">
        <v>0</v>
      </c>
      <c r="M88" s="253">
        <v>0</v>
      </c>
      <c r="O88" s="257">
        <f>'Cuadro Inv'!E28</f>
        <v>135000</v>
      </c>
      <c r="P88" s="257">
        <f t="shared" ref="P88:P95" si="203">B88*O88</f>
        <v>135000</v>
      </c>
      <c r="Q88" s="257">
        <f t="shared" ref="Q88:Q95" si="204">C88*P88</f>
        <v>0</v>
      </c>
      <c r="R88" s="257">
        <f t="shared" ref="R88:R95" si="205">D88*Q88</f>
        <v>0</v>
      </c>
      <c r="S88" s="257">
        <f t="shared" ref="S88:S95" si="206">E88*R88</f>
        <v>0</v>
      </c>
      <c r="T88" s="257">
        <f t="shared" ref="T88:T95" si="207">F88*S88</f>
        <v>0</v>
      </c>
      <c r="U88" s="257">
        <f t="shared" ref="U88:U95" si="208">G88*T88</f>
        <v>0</v>
      </c>
      <c r="V88" s="257">
        <f t="shared" ref="V88:V95" si="209">H88*U88</f>
        <v>0</v>
      </c>
      <c r="W88" s="257">
        <f t="shared" ref="W88:W95" si="210">I88*V88</f>
        <v>0</v>
      </c>
      <c r="X88" s="257">
        <f t="shared" ref="X88:X95" si="211">J88*W88</f>
        <v>0</v>
      </c>
      <c r="Y88" s="257">
        <f t="shared" ref="Y88:Y95" si="212">K88*X88</f>
        <v>0</v>
      </c>
      <c r="Z88" s="257">
        <f t="shared" ref="Z88:Z95" si="213">L88*Y88</f>
        <v>0</v>
      </c>
      <c r="AA88" s="255">
        <v>0</v>
      </c>
      <c r="AB88" s="257">
        <f t="shared" si="142"/>
        <v>0</v>
      </c>
      <c r="AD88" s="257">
        <f>$AB$88</f>
        <v>0</v>
      </c>
      <c r="AE88" s="257">
        <f t="shared" ref="AE88:AM88" si="214">$AB$88</f>
        <v>0</v>
      </c>
      <c r="AF88" s="257">
        <f t="shared" si="214"/>
        <v>0</v>
      </c>
      <c r="AG88" s="257">
        <f t="shared" si="214"/>
        <v>0</v>
      </c>
      <c r="AH88" s="257">
        <f t="shared" si="214"/>
        <v>0</v>
      </c>
      <c r="AI88" s="257">
        <f t="shared" si="214"/>
        <v>0</v>
      </c>
      <c r="AJ88" s="257">
        <f t="shared" si="214"/>
        <v>0</v>
      </c>
      <c r="AK88" s="257">
        <f t="shared" si="214"/>
        <v>0</v>
      </c>
      <c r="AL88" s="257">
        <f t="shared" si="214"/>
        <v>0</v>
      </c>
      <c r="AM88" s="257">
        <f t="shared" si="214"/>
        <v>0</v>
      </c>
      <c r="AN88" s="257">
        <f t="shared" si="178"/>
        <v>0</v>
      </c>
      <c r="AO88" s="257">
        <f t="shared" ref="AO88:AO95" si="215">O88-AN88</f>
        <v>135000</v>
      </c>
    </row>
    <row r="89" spans="1:41" s="253" customFormat="1" x14ac:dyDescent="0.25">
      <c r="A89" s="242" t="s">
        <v>180</v>
      </c>
      <c r="B89" s="253">
        <v>1</v>
      </c>
      <c r="C89" s="253">
        <v>0</v>
      </c>
      <c r="D89" s="253">
        <v>0</v>
      </c>
      <c r="E89" s="253">
        <v>0</v>
      </c>
      <c r="F89" s="253">
        <v>0</v>
      </c>
      <c r="G89" s="253">
        <v>0</v>
      </c>
      <c r="H89" s="253">
        <v>0</v>
      </c>
      <c r="I89" s="253">
        <v>0</v>
      </c>
      <c r="J89" s="253">
        <v>0</v>
      </c>
      <c r="K89" s="253">
        <v>0</v>
      </c>
      <c r="L89" s="253">
        <v>0</v>
      </c>
      <c r="M89" s="253">
        <v>0</v>
      </c>
      <c r="O89" s="257">
        <f>'Cuadro Inv'!E29</f>
        <v>80000</v>
      </c>
      <c r="P89" s="257">
        <f t="shared" si="203"/>
        <v>80000</v>
      </c>
      <c r="Q89" s="257">
        <f t="shared" si="204"/>
        <v>0</v>
      </c>
      <c r="R89" s="257">
        <f t="shared" si="205"/>
        <v>0</v>
      </c>
      <c r="S89" s="257">
        <f t="shared" si="206"/>
        <v>0</v>
      </c>
      <c r="T89" s="257">
        <f t="shared" si="207"/>
        <v>0</v>
      </c>
      <c r="U89" s="257">
        <f t="shared" si="208"/>
        <v>0</v>
      </c>
      <c r="V89" s="257">
        <f t="shared" si="209"/>
        <v>0</v>
      </c>
      <c r="W89" s="257">
        <f t="shared" si="210"/>
        <v>0</v>
      </c>
      <c r="X89" s="257">
        <f t="shared" si="211"/>
        <v>0</v>
      </c>
      <c r="Y89" s="257">
        <f t="shared" si="212"/>
        <v>0</v>
      </c>
      <c r="Z89" s="257">
        <f t="shared" si="213"/>
        <v>0</v>
      </c>
      <c r="AA89" s="255">
        <v>0</v>
      </c>
      <c r="AB89" s="257">
        <f t="shared" si="142"/>
        <v>0</v>
      </c>
      <c r="AD89" s="257">
        <f>$AB$89</f>
        <v>0</v>
      </c>
      <c r="AE89" s="257">
        <f t="shared" ref="AE89:AM89" si="216">$AB$89</f>
        <v>0</v>
      </c>
      <c r="AF89" s="257">
        <f t="shared" si="216"/>
        <v>0</v>
      </c>
      <c r="AG89" s="257">
        <f t="shared" si="216"/>
        <v>0</v>
      </c>
      <c r="AH89" s="257">
        <f t="shared" si="216"/>
        <v>0</v>
      </c>
      <c r="AI89" s="257">
        <f t="shared" si="216"/>
        <v>0</v>
      </c>
      <c r="AJ89" s="257">
        <f t="shared" si="216"/>
        <v>0</v>
      </c>
      <c r="AK89" s="257">
        <f t="shared" si="216"/>
        <v>0</v>
      </c>
      <c r="AL89" s="257">
        <f t="shared" si="216"/>
        <v>0</v>
      </c>
      <c r="AM89" s="257">
        <f t="shared" si="216"/>
        <v>0</v>
      </c>
      <c r="AN89" s="257">
        <f t="shared" si="178"/>
        <v>0</v>
      </c>
      <c r="AO89" s="257">
        <f t="shared" si="215"/>
        <v>80000</v>
      </c>
    </row>
    <row r="90" spans="1:41" s="253" customFormat="1" x14ac:dyDescent="0.25">
      <c r="A90" s="242" t="s">
        <v>181</v>
      </c>
      <c r="B90" s="253">
        <v>1</v>
      </c>
      <c r="C90" s="253">
        <v>0</v>
      </c>
      <c r="D90" s="253">
        <v>0</v>
      </c>
      <c r="E90" s="253">
        <v>0</v>
      </c>
      <c r="F90" s="253">
        <v>0</v>
      </c>
      <c r="G90" s="253">
        <v>0</v>
      </c>
      <c r="H90" s="253">
        <v>0</v>
      </c>
      <c r="I90" s="253">
        <v>0</v>
      </c>
      <c r="J90" s="253">
        <v>0</v>
      </c>
      <c r="K90" s="253">
        <v>0</v>
      </c>
      <c r="L90" s="253">
        <v>0</v>
      </c>
      <c r="M90" s="253">
        <v>0</v>
      </c>
      <c r="O90" s="257">
        <f>'Cuadro Inv'!E30</f>
        <v>5000</v>
      </c>
      <c r="P90" s="257">
        <f t="shared" si="203"/>
        <v>5000</v>
      </c>
      <c r="Q90" s="257">
        <f t="shared" si="204"/>
        <v>0</v>
      </c>
      <c r="R90" s="257">
        <f t="shared" si="205"/>
        <v>0</v>
      </c>
      <c r="S90" s="257">
        <f t="shared" si="206"/>
        <v>0</v>
      </c>
      <c r="T90" s="257">
        <f t="shared" si="207"/>
        <v>0</v>
      </c>
      <c r="U90" s="257">
        <f t="shared" si="208"/>
        <v>0</v>
      </c>
      <c r="V90" s="257">
        <f t="shared" si="209"/>
        <v>0</v>
      </c>
      <c r="W90" s="257">
        <f t="shared" si="210"/>
        <v>0</v>
      </c>
      <c r="X90" s="257">
        <f t="shared" si="211"/>
        <v>0</v>
      </c>
      <c r="Y90" s="257">
        <f t="shared" si="212"/>
        <v>0</v>
      </c>
      <c r="Z90" s="257">
        <f t="shared" si="213"/>
        <v>0</v>
      </c>
      <c r="AA90" s="255">
        <v>0</v>
      </c>
      <c r="AB90" s="257">
        <f t="shared" si="142"/>
        <v>0</v>
      </c>
      <c r="AD90" s="257">
        <f>$AB$90</f>
        <v>0</v>
      </c>
      <c r="AE90" s="257">
        <f t="shared" ref="AE90:AM90" si="217">$AB$90</f>
        <v>0</v>
      </c>
      <c r="AF90" s="257">
        <f t="shared" si="217"/>
        <v>0</v>
      </c>
      <c r="AG90" s="257">
        <f t="shared" si="217"/>
        <v>0</v>
      </c>
      <c r="AH90" s="257">
        <f t="shared" si="217"/>
        <v>0</v>
      </c>
      <c r="AI90" s="257">
        <f t="shared" si="217"/>
        <v>0</v>
      </c>
      <c r="AJ90" s="257">
        <f t="shared" si="217"/>
        <v>0</v>
      </c>
      <c r="AK90" s="257">
        <f t="shared" si="217"/>
        <v>0</v>
      </c>
      <c r="AL90" s="257">
        <f t="shared" si="217"/>
        <v>0</v>
      </c>
      <c r="AM90" s="257">
        <f t="shared" si="217"/>
        <v>0</v>
      </c>
      <c r="AN90" s="257">
        <f t="shared" si="178"/>
        <v>0</v>
      </c>
      <c r="AO90" s="257">
        <f t="shared" si="215"/>
        <v>5000</v>
      </c>
    </row>
    <row r="91" spans="1:41" s="253" customFormat="1" x14ac:dyDescent="0.25">
      <c r="A91" s="242" t="s">
        <v>182</v>
      </c>
      <c r="B91" s="253">
        <v>1</v>
      </c>
      <c r="C91" s="253">
        <v>0</v>
      </c>
      <c r="D91" s="253">
        <v>0</v>
      </c>
      <c r="E91" s="253">
        <v>0</v>
      </c>
      <c r="F91" s="253">
        <v>0</v>
      </c>
      <c r="G91" s="253">
        <v>0</v>
      </c>
      <c r="H91" s="253">
        <v>0</v>
      </c>
      <c r="I91" s="253">
        <v>0</v>
      </c>
      <c r="J91" s="253">
        <v>0</v>
      </c>
      <c r="K91" s="253">
        <v>0</v>
      </c>
      <c r="L91" s="253">
        <v>0</v>
      </c>
      <c r="M91" s="253">
        <v>0</v>
      </c>
      <c r="O91" s="257">
        <f>'Cuadro Inv'!E31</f>
        <v>80000</v>
      </c>
      <c r="P91" s="257">
        <f t="shared" si="203"/>
        <v>80000</v>
      </c>
      <c r="Q91" s="257">
        <f t="shared" si="204"/>
        <v>0</v>
      </c>
      <c r="R91" s="257">
        <f t="shared" si="205"/>
        <v>0</v>
      </c>
      <c r="S91" s="257">
        <f t="shared" si="206"/>
        <v>0</v>
      </c>
      <c r="T91" s="257">
        <f t="shared" si="207"/>
        <v>0</v>
      </c>
      <c r="U91" s="257">
        <f t="shared" si="208"/>
        <v>0</v>
      </c>
      <c r="V91" s="257">
        <f t="shared" si="209"/>
        <v>0</v>
      </c>
      <c r="W91" s="257">
        <f t="shared" si="210"/>
        <v>0</v>
      </c>
      <c r="X91" s="257">
        <f t="shared" si="211"/>
        <v>0</v>
      </c>
      <c r="Y91" s="257">
        <f t="shared" si="212"/>
        <v>0</v>
      </c>
      <c r="Z91" s="257">
        <f t="shared" si="213"/>
        <v>0</v>
      </c>
      <c r="AA91" s="255">
        <v>0</v>
      </c>
      <c r="AB91" s="257">
        <f t="shared" si="142"/>
        <v>0</v>
      </c>
      <c r="AD91" s="257">
        <f>$AB$91</f>
        <v>0</v>
      </c>
      <c r="AE91" s="257">
        <f t="shared" ref="AE91:AM91" si="218">$AB$91</f>
        <v>0</v>
      </c>
      <c r="AF91" s="257">
        <f t="shared" si="218"/>
        <v>0</v>
      </c>
      <c r="AG91" s="257">
        <f t="shared" si="218"/>
        <v>0</v>
      </c>
      <c r="AH91" s="257">
        <f t="shared" si="218"/>
        <v>0</v>
      </c>
      <c r="AI91" s="257">
        <f t="shared" si="218"/>
        <v>0</v>
      </c>
      <c r="AJ91" s="257">
        <f t="shared" si="218"/>
        <v>0</v>
      </c>
      <c r="AK91" s="257">
        <f t="shared" si="218"/>
        <v>0</v>
      </c>
      <c r="AL91" s="257">
        <f t="shared" si="218"/>
        <v>0</v>
      </c>
      <c r="AM91" s="257">
        <f t="shared" si="218"/>
        <v>0</v>
      </c>
      <c r="AN91" s="257">
        <f t="shared" si="178"/>
        <v>0</v>
      </c>
      <c r="AO91" s="257">
        <f t="shared" si="215"/>
        <v>80000</v>
      </c>
    </row>
    <row r="92" spans="1:41" s="253" customFormat="1" x14ac:dyDescent="0.25">
      <c r="A92" s="242" t="s">
        <v>183</v>
      </c>
      <c r="B92" s="253">
        <v>1</v>
      </c>
      <c r="C92" s="253">
        <v>0</v>
      </c>
      <c r="D92" s="253">
        <v>0</v>
      </c>
      <c r="E92" s="253">
        <v>0</v>
      </c>
      <c r="F92" s="253">
        <v>0</v>
      </c>
      <c r="G92" s="253">
        <v>0</v>
      </c>
      <c r="H92" s="253">
        <v>0</v>
      </c>
      <c r="I92" s="253">
        <v>0</v>
      </c>
      <c r="J92" s="253">
        <v>0</v>
      </c>
      <c r="K92" s="253">
        <v>0</v>
      </c>
      <c r="L92" s="253">
        <v>0</v>
      </c>
      <c r="M92" s="253">
        <v>0</v>
      </c>
      <c r="O92" s="257">
        <f>'Cuadro Inv'!E32</f>
        <v>500000</v>
      </c>
      <c r="P92" s="257">
        <f t="shared" si="203"/>
        <v>500000</v>
      </c>
      <c r="Q92" s="257">
        <f t="shared" si="204"/>
        <v>0</v>
      </c>
      <c r="R92" s="257">
        <f t="shared" si="205"/>
        <v>0</v>
      </c>
      <c r="S92" s="257">
        <f t="shared" si="206"/>
        <v>0</v>
      </c>
      <c r="T92" s="257">
        <f t="shared" si="207"/>
        <v>0</v>
      </c>
      <c r="U92" s="257">
        <f t="shared" si="208"/>
        <v>0</v>
      </c>
      <c r="V92" s="257">
        <f t="shared" si="209"/>
        <v>0</v>
      </c>
      <c r="W92" s="257">
        <f t="shared" si="210"/>
        <v>0</v>
      </c>
      <c r="X92" s="257">
        <f t="shared" si="211"/>
        <v>0</v>
      </c>
      <c r="Y92" s="257">
        <f t="shared" si="212"/>
        <v>0</v>
      </c>
      <c r="Z92" s="257">
        <f t="shared" si="213"/>
        <v>0</v>
      </c>
      <c r="AA92" s="255">
        <v>0</v>
      </c>
      <c r="AB92" s="257">
        <f t="shared" si="142"/>
        <v>0</v>
      </c>
      <c r="AD92" s="257">
        <f>$AB$92</f>
        <v>0</v>
      </c>
      <c r="AE92" s="257">
        <f t="shared" ref="AE92:AM92" si="219">$AB$92</f>
        <v>0</v>
      </c>
      <c r="AF92" s="257">
        <f t="shared" si="219"/>
        <v>0</v>
      </c>
      <c r="AG92" s="257">
        <f t="shared" si="219"/>
        <v>0</v>
      </c>
      <c r="AH92" s="257">
        <f t="shared" si="219"/>
        <v>0</v>
      </c>
      <c r="AI92" s="257">
        <f t="shared" si="219"/>
        <v>0</v>
      </c>
      <c r="AJ92" s="257">
        <f t="shared" si="219"/>
        <v>0</v>
      </c>
      <c r="AK92" s="257">
        <f t="shared" si="219"/>
        <v>0</v>
      </c>
      <c r="AL92" s="257">
        <f t="shared" si="219"/>
        <v>0</v>
      </c>
      <c r="AM92" s="257">
        <f t="shared" si="219"/>
        <v>0</v>
      </c>
      <c r="AN92" s="257">
        <f t="shared" si="178"/>
        <v>0</v>
      </c>
      <c r="AO92" s="257">
        <f t="shared" si="215"/>
        <v>500000</v>
      </c>
    </row>
    <row r="93" spans="1:41" s="253" customFormat="1" x14ac:dyDescent="0.25">
      <c r="A93" s="242" t="s">
        <v>184</v>
      </c>
      <c r="B93" s="253">
        <v>1</v>
      </c>
      <c r="C93" s="253">
        <v>0</v>
      </c>
      <c r="D93" s="253">
        <v>0</v>
      </c>
      <c r="E93" s="253">
        <v>0</v>
      </c>
      <c r="F93" s="253">
        <v>0</v>
      </c>
      <c r="G93" s="253">
        <v>0</v>
      </c>
      <c r="H93" s="253">
        <v>0</v>
      </c>
      <c r="I93" s="253">
        <v>0</v>
      </c>
      <c r="J93" s="253">
        <v>0</v>
      </c>
      <c r="K93" s="253">
        <v>0</v>
      </c>
      <c r="L93" s="253">
        <v>0</v>
      </c>
      <c r="M93" s="253">
        <v>0</v>
      </c>
      <c r="O93" s="257">
        <f>'Cuadro Inv'!E33</f>
        <v>500000</v>
      </c>
      <c r="P93" s="257">
        <f t="shared" si="203"/>
        <v>500000</v>
      </c>
      <c r="Q93" s="257">
        <f t="shared" si="204"/>
        <v>0</v>
      </c>
      <c r="R93" s="257">
        <f t="shared" si="205"/>
        <v>0</v>
      </c>
      <c r="S93" s="257">
        <f t="shared" si="206"/>
        <v>0</v>
      </c>
      <c r="T93" s="257">
        <f t="shared" si="207"/>
        <v>0</v>
      </c>
      <c r="U93" s="257">
        <f t="shared" si="208"/>
        <v>0</v>
      </c>
      <c r="V93" s="257">
        <f t="shared" si="209"/>
        <v>0</v>
      </c>
      <c r="W93" s="257">
        <f t="shared" si="210"/>
        <v>0</v>
      </c>
      <c r="X93" s="257">
        <f t="shared" si="211"/>
        <v>0</v>
      </c>
      <c r="Y93" s="257">
        <f t="shared" si="212"/>
        <v>0</v>
      </c>
      <c r="Z93" s="257">
        <f t="shared" si="213"/>
        <v>0</v>
      </c>
      <c r="AA93" s="255">
        <v>0</v>
      </c>
      <c r="AB93" s="257">
        <f t="shared" si="142"/>
        <v>0</v>
      </c>
      <c r="AD93" s="257">
        <f>$AB$93</f>
        <v>0</v>
      </c>
      <c r="AE93" s="257">
        <f t="shared" ref="AE93:AM93" si="220">$AB$93</f>
        <v>0</v>
      </c>
      <c r="AF93" s="257">
        <f t="shared" si="220"/>
        <v>0</v>
      </c>
      <c r="AG93" s="257">
        <f t="shared" si="220"/>
        <v>0</v>
      </c>
      <c r="AH93" s="257">
        <f t="shared" si="220"/>
        <v>0</v>
      </c>
      <c r="AI93" s="257">
        <f t="shared" si="220"/>
        <v>0</v>
      </c>
      <c r="AJ93" s="257">
        <f t="shared" si="220"/>
        <v>0</v>
      </c>
      <c r="AK93" s="257">
        <f t="shared" si="220"/>
        <v>0</v>
      </c>
      <c r="AL93" s="257">
        <f t="shared" si="220"/>
        <v>0</v>
      </c>
      <c r="AM93" s="257">
        <f t="shared" si="220"/>
        <v>0</v>
      </c>
      <c r="AN93" s="257">
        <f t="shared" si="178"/>
        <v>0</v>
      </c>
      <c r="AO93" s="257">
        <f t="shared" si="215"/>
        <v>500000</v>
      </c>
    </row>
    <row r="94" spans="1:41" s="253" customFormat="1" x14ac:dyDescent="0.25">
      <c r="O94" s="257"/>
      <c r="P94" s="259">
        <f>SUM(P88:P93)</f>
        <v>1300000</v>
      </c>
      <c r="Q94" s="259">
        <f t="shared" ref="Q94:Z94" si="221">SUM(Q88:Q93)</f>
        <v>0</v>
      </c>
      <c r="R94" s="259">
        <f t="shared" si="221"/>
        <v>0</v>
      </c>
      <c r="S94" s="259">
        <f t="shared" si="221"/>
        <v>0</v>
      </c>
      <c r="T94" s="259">
        <f t="shared" si="221"/>
        <v>0</v>
      </c>
      <c r="U94" s="259">
        <f t="shared" si="221"/>
        <v>0</v>
      </c>
      <c r="V94" s="259">
        <f t="shared" si="221"/>
        <v>0</v>
      </c>
      <c r="W94" s="259">
        <f t="shared" si="221"/>
        <v>0</v>
      </c>
      <c r="X94" s="259">
        <f t="shared" si="221"/>
        <v>0</v>
      </c>
      <c r="Y94" s="259">
        <f t="shared" si="221"/>
        <v>0</v>
      </c>
      <c r="Z94" s="259">
        <f t="shared" si="221"/>
        <v>0</v>
      </c>
      <c r="AA94" s="259"/>
      <c r="AB94" s="259"/>
      <c r="AC94" s="259"/>
      <c r="AD94" s="259">
        <f t="shared" ref="AD94" si="222">SUM(AD88:AD93)</f>
        <v>0</v>
      </c>
      <c r="AE94" s="259">
        <f t="shared" ref="AE94" si="223">SUM(AE88:AE93)</f>
        <v>0</v>
      </c>
      <c r="AF94" s="259">
        <f t="shared" ref="AF94" si="224">SUM(AF88:AF93)</f>
        <v>0</v>
      </c>
      <c r="AG94" s="259">
        <f t="shared" ref="AG94" si="225">SUM(AG88:AG93)</f>
        <v>0</v>
      </c>
      <c r="AH94" s="259">
        <f t="shared" ref="AH94" si="226">SUM(AH88:AH93)</f>
        <v>0</v>
      </c>
      <c r="AI94" s="259">
        <f t="shared" ref="AI94" si="227">SUM(AI88:AI93)</f>
        <v>0</v>
      </c>
      <c r="AJ94" s="259">
        <f t="shared" ref="AJ94" si="228">SUM(AJ88:AJ93)</f>
        <v>0</v>
      </c>
      <c r="AK94" s="259">
        <f t="shared" ref="AK94" si="229">SUM(AK88:AK93)</f>
        <v>0</v>
      </c>
      <c r="AL94" s="259">
        <f t="shared" ref="AL94" si="230">SUM(AL88:AL93)</f>
        <v>0</v>
      </c>
      <c r="AM94" s="259">
        <f t="shared" ref="AM94" si="231">SUM(AM88:AM93)</f>
        <v>0</v>
      </c>
      <c r="AN94" s="259">
        <f t="shared" ref="AN94:AO94" si="232">SUM(AN88:AN93)</f>
        <v>0</v>
      </c>
      <c r="AO94" s="259">
        <f t="shared" si="232"/>
        <v>1300000</v>
      </c>
    </row>
    <row r="95" spans="1:41" s="253" customFormat="1" x14ac:dyDescent="0.25">
      <c r="A95" s="242" t="s">
        <v>305</v>
      </c>
      <c r="B95" s="253">
        <v>1</v>
      </c>
      <c r="C95" s="253">
        <v>0</v>
      </c>
      <c r="D95" s="253">
        <v>0</v>
      </c>
      <c r="E95" s="253">
        <v>0</v>
      </c>
      <c r="F95" s="253">
        <v>0</v>
      </c>
      <c r="G95" s="253">
        <v>0</v>
      </c>
      <c r="H95" s="253">
        <v>0</v>
      </c>
      <c r="I95" s="253">
        <v>0</v>
      </c>
      <c r="J95" s="253">
        <v>0</v>
      </c>
      <c r="K95" s="253">
        <v>0</v>
      </c>
      <c r="L95" s="253">
        <v>0</v>
      </c>
      <c r="M95" s="253">
        <v>0</v>
      </c>
      <c r="O95" s="257">
        <f>'Cuadro Inv'!D34</f>
        <v>1500000</v>
      </c>
      <c r="P95" s="257">
        <f t="shared" si="203"/>
        <v>1500000</v>
      </c>
      <c r="Q95" s="257">
        <f t="shared" si="204"/>
        <v>0</v>
      </c>
      <c r="R95" s="257">
        <f t="shared" si="205"/>
        <v>0</v>
      </c>
      <c r="S95" s="257">
        <f t="shared" si="206"/>
        <v>0</v>
      </c>
      <c r="T95" s="257">
        <f t="shared" si="207"/>
        <v>0</v>
      </c>
      <c r="U95" s="257">
        <f t="shared" si="208"/>
        <v>0</v>
      </c>
      <c r="V95" s="257">
        <f t="shared" si="209"/>
        <v>0</v>
      </c>
      <c r="W95" s="257">
        <f t="shared" si="210"/>
        <v>0</v>
      </c>
      <c r="X95" s="257">
        <f t="shared" si="211"/>
        <v>0</v>
      </c>
      <c r="Y95" s="257">
        <f t="shared" si="212"/>
        <v>0</v>
      </c>
      <c r="Z95" s="257">
        <f t="shared" si="213"/>
        <v>0</v>
      </c>
      <c r="AA95" s="255">
        <v>5</v>
      </c>
      <c r="AB95" s="257">
        <f t="shared" si="142"/>
        <v>300000</v>
      </c>
      <c r="AD95" s="257">
        <f>$AB$95</f>
        <v>300000</v>
      </c>
      <c r="AE95" s="257">
        <f t="shared" ref="AE95:AH95" si="233">$AB$95</f>
        <v>300000</v>
      </c>
      <c r="AF95" s="257">
        <f t="shared" si="233"/>
        <v>300000</v>
      </c>
      <c r="AG95" s="257">
        <f t="shared" si="233"/>
        <v>300000</v>
      </c>
      <c r="AH95" s="257">
        <f t="shared" si="233"/>
        <v>300000</v>
      </c>
      <c r="AI95" s="257"/>
      <c r="AJ95" s="257"/>
      <c r="AK95" s="257"/>
      <c r="AL95" s="257"/>
      <c r="AM95" s="257"/>
      <c r="AN95" s="257">
        <f t="shared" si="178"/>
        <v>1500000</v>
      </c>
      <c r="AO95" s="257">
        <f t="shared" si="215"/>
        <v>0</v>
      </c>
    </row>
    <row r="96" spans="1:41" s="253" customFormat="1" x14ac:dyDescent="0.25">
      <c r="O96" s="259"/>
      <c r="P96" s="259">
        <f>P77+P87+P94+P95</f>
        <v>16966681.903528612</v>
      </c>
      <c r="Q96" s="259">
        <f>Q77+Q87+Q94+Q95</f>
        <v>137300.43920000002</v>
      </c>
      <c r="R96" s="259">
        <f>R77+R87+R94+R95</f>
        <v>0</v>
      </c>
      <c r="S96" s="259">
        <f>S77+S87+S94+S95</f>
        <v>338384.4</v>
      </c>
      <c r="T96" s="259">
        <f>T77+T87+T94+T95</f>
        <v>236428.43932861101</v>
      </c>
      <c r="U96" s="259">
        <f>U77+U87+U94+U95</f>
        <v>39875</v>
      </c>
      <c r="V96" s="259">
        <f>V77+V87+V94+V95</f>
        <v>237300.43920000002</v>
      </c>
      <c r="W96" s="259">
        <f>W77+W87+W94+W95</f>
        <v>0</v>
      </c>
      <c r="X96" s="259">
        <f>X77+X87+X94+X95</f>
        <v>0</v>
      </c>
      <c r="Y96" s="259">
        <f>Y77+Y87+Y94+Y95</f>
        <v>0</v>
      </c>
      <c r="Z96" s="259">
        <f>Z77+Z87+Z94+Z95</f>
        <v>0</v>
      </c>
      <c r="AA96" s="259"/>
      <c r="AB96" s="259"/>
      <c r="AC96" s="259">
        <f>SUM(AC6:AC95)</f>
        <v>0</v>
      </c>
      <c r="AD96" s="259">
        <f t="shared" ref="AD96:AO96" si="234">AD77+AD87+AD94+AD95</f>
        <v>1755112.1269019074</v>
      </c>
      <c r="AE96" s="259">
        <f t="shared" si="234"/>
        <v>1764265.4895152408</v>
      </c>
      <c r="AF96" s="259">
        <f t="shared" si="234"/>
        <v>1764265.4895152408</v>
      </c>
      <c r="AG96" s="259">
        <f t="shared" si="234"/>
        <v>1786824.4495152407</v>
      </c>
      <c r="AH96" s="259">
        <f t="shared" si="234"/>
        <v>1802586.3454704816</v>
      </c>
      <c r="AI96" s="259">
        <f t="shared" si="234"/>
        <v>673244.67880381492</v>
      </c>
      <c r="AJ96" s="259">
        <f t="shared" si="234"/>
        <v>682398.0414171482</v>
      </c>
      <c r="AK96" s="259">
        <f t="shared" si="234"/>
        <v>682398.0414171482</v>
      </c>
      <c r="AL96" s="259">
        <f t="shared" si="234"/>
        <v>682398.0414171482</v>
      </c>
      <c r="AM96" s="259">
        <f t="shared" si="234"/>
        <v>682398.0414171482</v>
      </c>
      <c r="AN96" s="259">
        <f>AN77+AN87+AN94+AN95</f>
        <v>12275890.745390518</v>
      </c>
      <c r="AO96" s="259">
        <f t="shared" si="234"/>
        <v>5680079.8758667046</v>
      </c>
    </row>
    <row r="97" spans="1:53" s="253" customFormat="1" ht="15.75" thickBot="1" x14ac:dyDescent="0.3"/>
    <row r="98" spans="1:53" s="253" customFormat="1" ht="15.75" thickBot="1" x14ac:dyDescent="0.3">
      <c r="O98" s="527" t="s">
        <v>7</v>
      </c>
      <c r="P98" s="528">
        <f>SUM(P96:Z96)</f>
        <v>17955970.621257219</v>
      </c>
      <c r="Q98" s="529" t="s">
        <v>6</v>
      </c>
      <c r="AC98" s="527" t="s">
        <v>7</v>
      </c>
      <c r="AD98" s="528">
        <f>AN96+AO96</f>
        <v>17955970.621257223</v>
      </c>
      <c r="AE98" s="529" t="s">
        <v>6</v>
      </c>
    </row>
    <row r="99" spans="1:53" s="253" customFormat="1" x14ac:dyDescent="0.25"/>
    <row r="100" spans="1:53" s="253" customFormat="1" x14ac:dyDescent="0.25">
      <c r="P100" s="257"/>
      <c r="Q100" s="257"/>
      <c r="R100" s="257"/>
      <c r="S100" s="257"/>
      <c r="T100" s="257"/>
      <c r="U100" s="257"/>
      <c r="V100" s="257"/>
      <c r="W100" s="257"/>
      <c r="X100" s="257"/>
      <c r="Y100" s="257"/>
      <c r="Z100" s="257"/>
    </row>
    <row r="101" spans="1:53" s="278" customFormat="1" ht="15.75" thickBot="1" x14ac:dyDescent="0.3"/>
    <row r="102" spans="1:53" s="253" customFormat="1" x14ac:dyDescent="0.25"/>
    <row r="103" spans="1:53" s="253" customFormat="1" x14ac:dyDescent="0.25">
      <c r="A103" s="94" t="s">
        <v>536</v>
      </c>
    </row>
    <row r="104" spans="1:53" s="253" customFormat="1" x14ac:dyDescent="0.25"/>
    <row r="105" spans="1:53" s="249" customFormat="1" ht="45" x14ac:dyDescent="0.25">
      <c r="A105" s="249" t="s">
        <v>394</v>
      </c>
      <c r="B105" s="499" t="s">
        <v>396</v>
      </c>
      <c r="C105" s="499"/>
      <c r="D105" s="499"/>
      <c r="E105" s="499"/>
      <c r="F105" s="499"/>
      <c r="G105" s="499"/>
      <c r="H105" s="499"/>
      <c r="I105" s="499"/>
      <c r="J105" s="499"/>
      <c r="K105" s="499"/>
      <c r="L105" s="499"/>
      <c r="N105" s="249" t="s">
        <v>397</v>
      </c>
      <c r="P105" s="499" t="s">
        <v>410</v>
      </c>
      <c r="Q105" s="499"/>
      <c r="R105" s="499"/>
      <c r="S105" s="499"/>
      <c r="T105" s="499"/>
      <c r="U105" s="499"/>
      <c r="V105" s="499"/>
      <c r="W105" s="499"/>
      <c r="X105" s="499"/>
      <c r="Y105" s="499"/>
      <c r="Z105" s="499"/>
      <c r="AA105" s="249" t="s">
        <v>398</v>
      </c>
    </row>
    <row r="106" spans="1:53" s="253" customFormat="1" x14ac:dyDescent="0.25">
      <c r="A106" s="270"/>
      <c r="B106" s="264">
        <v>0</v>
      </c>
      <c r="C106" s="264">
        <v>1</v>
      </c>
      <c r="D106" s="264">
        <v>2</v>
      </c>
      <c r="E106" s="264">
        <v>3</v>
      </c>
      <c r="F106" s="264">
        <v>4</v>
      </c>
      <c r="G106" s="264">
        <v>5</v>
      </c>
      <c r="H106" s="264">
        <v>6</v>
      </c>
      <c r="I106" s="264">
        <v>7</v>
      </c>
      <c r="J106" s="264">
        <v>8</v>
      </c>
      <c r="K106" s="264">
        <v>9</v>
      </c>
      <c r="L106" s="264">
        <v>10</v>
      </c>
      <c r="M106" s="264"/>
      <c r="P106" s="378" t="s">
        <v>23</v>
      </c>
      <c r="Q106" s="378" t="s">
        <v>399</v>
      </c>
      <c r="R106" s="378" t="s">
        <v>400</v>
      </c>
      <c r="S106" s="378" t="s">
        <v>401</v>
      </c>
      <c r="T106" s="378" t="s">
        <v>403</v>
      </c>
      <c r="U106" s="378" t="s">
        <v>402</v>
      </c>
      <c r="V106" s="378" t="s">
        <v>404</v>
      </c>
      <c r="W106" s="378" t="s">
        <v>405</v>
      </c>
      <c r="X106" s="378" t="s">
        <v>406</v>
      </c>
      <c r="Y106" s="378" t="s">
        <v>407</v>
      </c>
      <c r="Z106" s="378" t="s">
        <v>408</v>
      </c>
      <c r="AC106" s="378" t="s">
        <v>23</v>
      </c>
      <c r="AD106" s="378" t="s">
        <v>399</v>
      </c>
      <c r="AE106" s="378" t="s">
        <v>400</v>
      </c>
      <c r="AF106" s="378" t="s">
        <v>401</v>
      </c>
      <c r="AG106" s="378" t="s">
        <v>403</v>
      </c>
      <c r="AH106" s="378" t="s">
        <v>402</v>
      </c>
      <c r="AI106" s="378" t="s">
        <v>404</v>
      </c>
      <c r="AJ106" s="378" t="s">
        <v>405</v>
      </c>
      <c r="AK106" s="378" t="s">
        <v>406</v>
      </c>
      <c r="AL106" s="378" t="s">
        <v>407</v>
      </c>
      <c r="AM106" s="378" t="s">
        <v>408</v>
      </c>
      <c r="AN106" s="378" t="s">
        <v>385</v>
      </c>
      <c r="AO106" s="378" t="s">
        <v>409</v>
      </c>
      <c r="AS106" s="533" t="s">
        <v>415</v>
      </c>
      <c r="AT106" s="533" t="s">
        <v>476</v>
      </c>
      <c r="AU106" s="533" t="s">
        <v>477</v>
      </c>
      <c r="AV106" s="533" t="s">
        <v>478</v>
      </c>
      <c r="AW106" s="533" t="s">
        <v>455</v>
      </c>
      <c r="AX106" s="533" t="s">
        <v>413</v>
      </c>
      <c r="AY106" s="533" t="s">
        <v>542</v>
      </c>
      <c r="AZ106" s="533" t="s">
        <v>543</v>
      </c>
      <c r="BA106" s="533" t="s">
        <v>456</v>
      </c>
    </row>
    <row r="107" spans="1:53" s="253" customFormat="1" x14ac:dyDescent="0.25">
      <c r="A107" s="242" t="str">
        <f>A6</f>
        <v>Equipo I1</v>
      </c>
      <c r="B107" s="242">
        <f t="shared" ref="B107:M107" si="235">B6</f>
        <v>1</v>
      </c>
      <c r="C107" s="242">
        <f t="shared" si="235"/>
        <v>0</v>
      </c>
      <c r="D107" s="242">
        <f t="shared" si="235"/>
        <v>0</v>
      </c>
      <c r="E107" s="242">
        <f t="shared" si="235"/>
        <v>0</v>
      </c>
      <c r="F107" s="242">
        <f t="shared" si="235"/>
        <v>0</v>
      </c>
      <c r="G107" s="242">
        <f t="shared" si="235"/>
        <v>0</v>
      </c>
      <c r="H107" s="242">
        <f t="shared" si="235"/>
        <v>0</v>
      </c>
      <c r="I107" s="242">
        <f t="shared" si="235"/>
        <v>0</v>
      </c>
      <c r="J107" s="242">
        <f t="shared" si="235"/>
        <v>0</v>
      </c>
      <c r="K107" s="242">
        <f t="shared" si="235"/>
        <v>0</v>
      </c>
      <c r="L107" s="242">
        <f t="shared" si="235"/>
        <v>0</v>
      </c>
      <c r="M107" s="242">
        <f t="shared" si="235"/>
        <v>1</v>
      </c>
      <c r="N107" s="257">
        <f>N6</f>
        <v>93842.039200000014</v>
      </c>
      <c r="O107" s="257">
        <f>O6</f>
        <v>93842.039200000014</v>
      </c>
      <c r="P107" s="257">
        <f t="shared" ref="P107:AO107" si="236">P6</f>
        <v>93842.039200000014</v>
      </c>
      <c r="Q107" s="257">
        <f t="shared" si="236"/>
        <v>0</v>
      </c>
      <c r="R107" s="257">
        <f t="shared" si="236"/>
        <v>0</v>
      </c>
      <c r="S107" s="257">
        <f t="shared" si="236"/>
        <v>0</v>
      </c>
      <c r="T107" s="257">
        <f t="shared" si="236"/>
        <v>0</v>
      </c>
      <c r="U107" s="257">
        <f t="shared" si="236"/>
        <v>0</v>
      </c>
      <c r="V107" s="257">
        <f t="shared" si="236"/>
        <v>0</v>
      </c>
      <c r="W107" s="257">
        <f t="shared" si="236"/>
        <v>0</v>
      </c>
      <c r="X107" s="257">
        <f t="shared" si="236"/>
        <v>0</v>
      </c>
      <c r="Y107" s="257">
        <f t="shared" si="236"/>
        <v>0</v>
      </c>
      <c r="Z107" s="257">
        <f t="shared" si="236"/>
        <v>0</v>
      </c>
      <c r="AA107" s="380">
        <f t="shared" si="236"/>
        <v>15</v>
      </c>
      <c r="AB107" s="257">
        <f t="shared" si="236"/>
        <v>6256.1359466666672</v>
      </c>
      <c r="AC107" s="257">
        <f t="shared" si="236"/>
        <v>0</v>
      </c>
      <c r="AD107" s="257">
        <f t="shared" si="236"/>
        <v>6256.1359466666672</v>
      </c>
      <c r="AE107" s="257">
        <f t="shared" si="236"/>
        <v>6256.1359466666672</v>
      </c>
      <c r="AF107" s="257">
        <f t="shared" si="236"/>
        <v>6256.1359466666672</v>
      </c>
      <c r="AG107" s="257">
        <f t="shared" si="236"/>
        <v>6256.1359466666672</v>
      </c>
      <c r="AH107" s="257">
        <f t="shared" si="236"/>
        <v>6256.1359466666672</v>
      </c>
      <c r="AI107" s="257">
        <f t="shared" si="236"/>
        <v>6256.1359466666672</v>
      </c>
      <c r="AJ107" s="257">
        <f t="shared" si="236"/>
        <v>6256.1359466666672</v>
      </c>
      <c r="AK107" s="257">
        <f t="shared" si="236"/>
        <v>6256.1359466666672</v>
      </c>
      <c r="AL107" s="257">
        <f t="shared" si="236"/>
        <v>6256.1359466666672</v>
      </c>
      <c r="AM107" s="257">
        <f t="shared" si="236"/>
        <v>6256.1359466666672</v>
      </c>
      <c r="AN107" s="257">
        <f t="shared" si="236"/>
        <v>62561.359466666683</v>
      </c>
      <c r="AO107" s="257">
        <f t="shared" si="236"/>
        <v>31280.679733333331</v>
      </c>
      <c r="AS107" s="400">
        <v>0</v>
      </c>
      <c r="AT107" s="400">
        <f>P178</f>
        <v>10006681.903528612</v>
      </c>
      <c r="AU107" s="400">
        <f>P198+P190</f>
        <v>6388810.7820000006</v>
      </c>
      <c r="AV107" s="400">
        <f>P197</f>
        <v>1300000</v>
      </c>
      <c r="AW107" s="400">
        <f>SUM(AT107:AV107)</f>
        <v>17695492.685528614</v>
      </c>
      <c r="AX107" s="400">
        <f>AC199</f>
        <v>0</v>
      </c>
      <c r="AY107" s="400">
        <f>AW107-AX107</f>
        <v>17695492.685528614</v>
      </c>
      <c r="AZ107" s="400">
        <f>Préstamo!G11</f>
        <v>10411582.6</v>
      </c>
      <c r="BA107" s="400">
        <f>AY107-AZ107</f>
        <v>7283910.085528614</v>
      </c>
    </row>
    <row r="108" spans="1:53" s="253" customFormat="1" x14ac:dyDescent="0.25">
      <c r="A108" s="242" t="str">
        <f t="shared" ref="A108:M108" si="237">A7</f>
        <v>Equipo I1</v>
      </c>
      <c r="B108" s="242">
        <f t="shared" si="237"/>
        <v>0</v>
      </c>
      <c r="C108" s="242">
        <f t="shared" si="237"/>
        <v>1</v>
      </c>
      <c r="D108" s="242">
        <f t="shared" si="237"/>
        <v>0</v>
      </c>
      <c r="E108" s="242">
        <f t="shared" si="237"/>
        <v>0</v>
      </c>
      <c r="F108" s="242">
        <f t="shared" si="237"/>
        <v>0</v>
      </c>
      <c r="G108" s="242">
        <f t="shared" si="237"/>
        <v>0</v>
      </c>
      <c r="H108" s="242">
        <f t="shared" si="237"/>
        <v>0</v>
      </c>
      <c r="I108" s="242">
        <f t="shared" si="237"/>
        <v>0</v>
      </c>
      <c r="J108" s="242">
        <f t="shared" si="237"/>
        <v>0</v>
      </c>
      <c r="K108" s="242">
        <f t="shared" si="237"/>
        <v>0</v>
      </c>
      <c r="L108" s="242">
        <f t="shared" si="237"/>
        <v>0</v>
      </c>
      <c r="M108" s="242">
        <f t="shared" si="237"/>
        <v>1</v>
      </c>
      <c r="N108" s="257">
        <f t="shared" ref="N108:AO108" si="238">N7</f>
        <v>93842.039200000014</v>
      </c>
      <c r="O108" s="257">
        <f t="shared" si="238"/>
        <v>93842.039200000014</v>
      </c>
      <c r="P108" s="257">
        <f t="shared" si="238"/>
        <v>0</v>
      </c>
      <c r="Q108" s="257">
        <f t="shared" si="238"/>
        <v>93842.039200000014</v>
      </c>
      <c r="R108" s="257">
        <f t="shared" si="238"/>
        <v>0</v>
      </c>
      <c r="S108" s="257">
        <f t="shared" si="238"/>
        <v>0</v>
      </c>
      <c r="T108" s="257">
        <f t="shared" si="238"/>
        <v>0</v>
      </c>
      <c r="U108" s="257">
        <f t="shared" si="238"/>
        <v>0</v>
      </c>
      <c r="V108" s="257">
        <f t="shared" si="238"/>
        <v>0</v>
      </c>
      <c r="W108" s="257">
        <f t="shared" si="238"/>
        <v>0</v>
      </c>
      <c r="X108" s="257">
        <f t="shared" si="238"/>
        <v>0</v>
      </c>
      <c r="Y108" s="257">
        <f t="shared" si="238"/>
        <v>0</v>
      </c>
      <c r="Z108" s="257">
        <f t="shared" si="238"/>
        <v>0</v>
      </c>
      <c r="AA108" s="380">
        <f t="shared" si="238"/>
        <v>15</v>
      </c>
      <c r="AB108" s="257">
        <f t="shared" si="238"/>
        <v>6256.1359466666672</v>
      </c>
      <c r="AC108" s="257">
        <f t="shared" si="238"/>
        <v>0</v>
      </c>
      <c r="AD108" s="257">
        <f t="shared" si="238"/>
        <v>0</v>
      </c>
      <c r="AE108" s="257">
        <f t="shared" si="238"/>
        <v>6256.1359466666672</v>
      </c>
      <c r="AF108" s="257">
        <f t="shared" si="238"/>
        <v>6256.1359466666672</v>
      </c>
      <c r="AG108" s="257">
        <f t="shared" si="238"/>
        <v>6256.1359466666672</v>
      </c>
      <c r="AH108" s="257">
        <f t="shared" si="238"/>
        <v>6256.1359466666672</v>
      </c>
      <c r="AI108" s="257">
        <f t="shared" si="238"/>
        <v>6256.1359466666672</v>
      </c>
      <c r="AJ108" s="257">
        <f t="shared" si="238"/>
        <v>6256.1359466666672</v>
      </c>
      <c r="AK108" s="257">
        <f t="shared" si="238"/>
        <v>6256.1359466666672</v>
      </c>
      <c r="AL108" s="257">
        <f t="shared" si="238"/>
        <v>6256.1359466666672</v>
      </c>
      <c r="AM108" s="257">
        <f t="shared" si="238"/>
        <v>6256.1359466666672</v>
      </c>
      <c r="AN108" s="257">
        <f t="shared" si="238"/>
        <v>56305.223520000014</v>
      </c>
      <c r="AO108" s="257">
        <f t="shared" si="238"/>
        <v>37536.81568</v>
      </c>
      <c r="AS108" s="400">
        <v>1</v>
      </c>
      <c r="AT108" s="400">
        <f>Q178</f>
        <v>137300.43920000002</v>
      </c>
      <c r="AU108" s="400">
        <f>Q198+Q190</f>
        <v>0</v>
      </c>
      <c r="AV108" s="400">
        <f>Q197</f>
        <v>0</v>
      </c>
      <c r="AW108" s="400">
        <f t="shared" ref="AW108:AW117" si="239">SUM(AT108:AV108)</f>
        <v>137300.43920000002</v>
      </c>
      <c r="AX108" s="400">
        <f>AD199</f>
        <v>1900874.2833019076</v>
      </c>
      <c r="AY108" s="400">
        <f>AY107+AW108-AX108</f>
        <v>15931918.841426704</v>
      </c>
      <c r="AZ108" s="400">
        <f>Préstamo!G12</f>
        <v>10411582.6</v>
      </c>
      <c r="BA108" s="400">
        <f t="shared" ref="BA108:BA117" si="240">AY108-AZ108</f>
        <v>5520336.2414267045</v>
      </c>
    </row>
    <row r="109" spans="1:53" s="253" customFormat="1" x14ac:dyDescent="0.25">
      <c r="A109" s="242" t="str">
        <f t="shared" ref="A109:M109" si="241">A8</f>
        <v>Equipo I1</v>
      </c>
      <c r="B109" s="242">
        <f t="shared" si="241"/>
        <v>0</v>
      </c>
      <c r="C109" s="242">
        <f t="shared" si="241"/>
        <v>0</v>
      </c>
      <c r="D109" s="242">
        <f t="shared" si="241"/>
        <v>0</v>
      </c>
      <c r="E109" s="242">
        <f t="shared" si="241"/>
        <v>0</v>
      </c>
      <c r="F109" s="242">
        <f t="shared" si="241"/>
        <v>0</v>
      </c>
      <c r="G109" s="242">
        <f t="shared" si="241"/>
        <v>0</v>
      </c>
      <c r="H109" s="242">
        <f t="shared" si="241"/>
        <v>1</v>
      </c>
      <c r="I109" s="242">
        <f t="shared" si="241"/>
        <v>0</v>
      </c>
      <c r="J109" s="242">
        <f t="shared" si="241"/>
        <v>0</v>
      </c>
      <c r="K109" s="242">
        <f t="shared" si="241"/>
        <v>0</v>
      </c>
      <c r="L109" s="242">
        <f t="shared" si="241"/>
        <v>0</v>
      </c>
      <c r="M109" s="242">
        <f t="shared" si="241"/>
        <v>1</v>
      </c>
      <c r="N109" s="257">
        <f t="shared" ref="N109:AO109" si="242">N8</f>
        <v>93842.039200000014</v>
      </c>
      <c r="O109" s="257">
        <f t="shared" si="242"/>
        <v>93842.039200000014</v>
      </c>
      <c r="P109" s="257">
        <f t="shared" si="242"/>
        <v>0</v>
      </c>
      <c r="Q109" s="257">
        <f t="shared" si="242"/>
        <v>0</v>
      </c>
      <c r="R109" s="257">
        <f t="shared" si="242"/>
        <v>0</v>
      </c>
      <c r="S109" s="257">
        <f t="shared" si="242"/>
        <v>0</v>
      </c>
      <c r="T109" s="257">
        <f t="shared" si="242"/>
        <v>0</v>
      </c>
      <c r="U109" s="257">
        <f t="shared" si="242"/>
        <v>0</v>
      </c>
      <c r="V109" s="257">
        <f t="shared" si="242"/>
        <v>93842.039200000014</v>
      </c>
      <c r="W109" s="257">
        <f t="shared" si="242"/>
        <v>0</v>
      </c>
      <c r="X109" s="257">
        <f t="shared" si="242"/>
        <v>0</v>
      </c>
      <c r="Y109" s="257">
        <f t="shared" si="242"/>
        <v>0</v>
      </c>
      <c r="Z109" s="257">
        <f t="shared" si="242"/>
        <v>0</v>
      </c>
      <c r="AA109" s="380">
        <f t="shared" si="242"/>
        <v>15</v>
      </c>
      <c r="AB109" s="257">
        <f t="shared" si="242"/>
        <v>6256.1359466666672</v>
      </c>
      <c r="AC109" s="257">
        <f t="shared" si="242"/>
        <v>0</v>
      </c>
      <c r="AD109" s="257">
        <f t="shared" si="242"/>
        <v>0</v>
      </c>
      <c r="AE109" s="257">
        <f t="shared" si="242"/>
        <v>0</v>
      </c>
      <c r="AF109" s="257">
        <f t="shared" si="242"/>
        <v>0</v>
      </c>
      <c r="AG109" s="257">
        <f t="shared" si="242"/>
        <v>0</v>
      </c>
      <c r="AH109" s="257">
        <f t="shared" si="242"/>
        <v>0</v>
      </c>
      <c r="AI109" s="257">
        <f t="shared" si="242"/>
        <v>0</v>
      </c>
      <c r="AJ109" s="257">
        <f t="shared" si="242"/>
        <v>6256.1359466666672</v>
      </c>
      <c r="AK109" s="257">
        <f t="shared" si="242"/>
        <v>6256.1359466666672</v>
      </c>
      <c r="AL109" s="257">
        <f t="shared" si="242"/>
        <v>6256.1359466666672</v>
      </c>
      <c r="AM109" s="257">
        <f t="shared" si="242"/>
        <v>6256.1359466666672</v>
      </c>
      <c r="AN109" s="257">
        <f t="shared" si="242"/>
        <v>25024.543786666669</v>
      </c>
      <c r="AO109" s="257">
        <f t="shared" si="242"/>
        <v>68817.495413333352</v>
      </c>
      <c r="AS109" s="400">
        <v>2</v>
      </c>
      <c r="AT109" s="400">
        <f>R178</f>
        <v>0</v>
      </c>
      <c r="AU109" s="400">
        <f>R198+R190</f>
        <v>0</v>
      </c>
      <c r="AV109" s="400">
        <f>R197</f>
        <v>0</v>
      </c>
      <c r="AW109" s="400">
        <f t="shared" si="239"/>
        <v>0</v>
      </c>
      <c r="AX109" s="400">
        <f>AE199</f>
        <v>1910027.645915241</v>
      </c>
      <c r="AY109" s="400">
        <f t="shared" ref="AY109:AY117" si="243">AY108+AW109-AX109</f>
        <v>14021891.195511464</v>
      </c>
      <c r="AZ109" s="400">
        <f>Préstamo!G13</f>
        <v>10411582.6</v>
      </c>
      <c r="BA109" s="400">
        <f t="shared" si="240"/>
        <v>3610308.5955114644</v>
      </c>
    </row>
    <row r="110" spans="1:53" s="253" customFormat="1" x14ac:dyDescent="0.25">
      <c r="A110" s="242" t="str">
        <f t="shared" ref="A110:M110" si="244">A9</f>
        <v>Equipo I2</v>
      </c>
      <c r="B110" s="242">
        <f t="shared" si="244"/>
        <v>1</v>
      </c>
      <c r="C110" s="242">
        <f t="shared" si="244"/>
        <v>0</v>
      </c>
      <c r="D110" s="242">
        <f t="shared" si="244"/>
        <v>0</v>
      </c>
      <c r="E110" s="242">
        <f t="shared" si="244"/>
        <v>0</v>
      </c>
      <c r="F110" s="242">
        <f t="shared" si="244"/>
        <v>0</v>
      </c>
      <c r="G110" s="242">
        <f t="shared" si="244"/>
        <v>0</v>
      </c>
      <c r="H110" s="242">
        <f t="shared" si="244"/>
        <v>0</v>
      </c>
      <c r="I110" s="242">
        <f t="shared" si="244"/>
        <v>0</v>
      </c>
      <c r="J110" s="242">
        <f t="shared" si="244"/>
        <v>0</v>
      </c>
      <c r="K110" s="242">
        <f t="shared" si="244"/>
        <v>0</v>
      </c>
      <c r="L110" s="242">
        <f t="shared" si="244"/>
        <v>0</v>
      </c>
      <c r="M110" s="242">
        <f t="shared" si="244"/>
        <v>1</v>
      </c>
      <c r="N110" s="257">
        <f t="shared" ref="N110:AO110" si="245">N9</f>
        <v>15010.4</v>
      </c>
      <c r="O110" s="257">
        <f t="shared" si="245"/>
        <v>15010.4</v>
      </c>
      <c r="P110" s="257">
        <f t="shared" si="245"/>
        <v>15010.4</v>
      </c>
      <c r="Q110" s="257">
        <f t="shared" si="245"/>
        <v>0</v>
      </c>
      <c r="R110" s="257">
        <f t="shared" si="245"/>
        <v>0</v>
      </c>
      <c r="S110" s="257">
        <f t="shared" si="245"/>
        <v>0</v>
      </c>
      <c r="T110" s="257">
        <f t="shared" si="245"/>
        <v>0</v>
      </c>
      <c r="U110" s="257">
        <f t="shared" si="245"/>
        <v>0</v>
      </c>
      <c r="V110" s="257">
        <f t="shared" si="245"/>
        <v>0</v>
      </c>
      <c r="W110" s="257">
        <f t="shared" si="245"/>
        <v>0</v>
      </c>
      <c r="X110" s="257">
        <f t="shared" si="245"/>
        <v>0</v>
      </c>
      <c r="Y110" s="257">
        <f t="shared" si="245"/>
        <v>0</v>
      </c>
      <c r="Z110" s="257">
        <f t="shared" si="245"/>
        <v>0</v>
      </c>
      <c r="AA110" s="380">
        <f t="shared" si="245"/>
        <v>15</v>
      </c>
      <c r="AB110" s="257">
        <f t="shared" si="245"/>
        <v>1000.6933333333333</v>
      </c>
      <c r="AC110" s="257">
        <f t="shared" si="245"/>
        <v>0</v>
      </c>
      <c r="AD110" s="257">
        <f t="shared" si="245"/>
        <v>1000.6933333333333</v>
      </c>
      <c r="AE110" s="257">
        <f t="shared" si="245"/>
        <v>1000.6933333333333</v>
      </c>
      <c r="AF110" s="257">
        <f t="shared" si="245"/>
        <v>1000.6933333333333</v>
      </c>
      <c r="AG110" s="257">
        <f t="shared" si="245"/>
        <v>1000.6933333333333</v>
      </c>
      <c r="AH110" s="257">
        <f t="shared" si="245"/>
        <v>1000.6933333333333</v>
      </c>
      <c r="AI110" s="257">
        <f t="shared" si="245"/>
        <v>1000.6933333333333</v>
      </c>
      <c r="AJ110" s="257">
        <f t="shared" si="245"/>
        <v>1000.6933333333333</v>
      </c>
      <c r="AK110" s="257">
        <f t="shared" si="245"/>
        <v>1000.6933333333333</v>
      </c>
      <c r="AL110" s="257">
        <f t="shared" si="245"/>
        <v>1000.6933333333333</v>
      </c>
      <c r="AM110" s="257">
        <f t="shared" si="245"/>
        <v>1000.6933333333333</v>
      </c>
      <c r="AN110" s="257">
        <f t="shared" si="245"/>
        <v>10006.933333333332</v>
      </c>
      <c r="AO110" s="257">
        <f t="shared" si="245"/>
        <v>5003.4666666666672</v>
      </c>
      <c r="AS110" s="400">
        <v>3</v>
      </c>
      <c r="AT110" s="400">
        <f>S178</f>
        <v>338384.4</v>
      </c>
      <c r="AU110" s="400">
        <f>S198+S190</f>
        <v>0</v>
      </c>
      <c r="AV110" s="400">
        <f>S197</f>
        <v>0</v>
      </c>
      <c r="AW110" s="400">
        <f t="shared" si="239"/>
        <v>338384.4</v>
      </c>
      <c r="AX110" s="400">
        <f>AF199</f>
        <v>1910027.645915241</v>
      </c>
      <c r="AY110" s="400">
        <f t="shared" si="243"/>
        <v>12450247.949596222</v>
      </c>
      <c r="AZ110" s="400">
        <f>Préstamo!G14</f>
        <v>9110134.7750000004</v>
      </c>
      <c r="BA110" s="400">
        <f t="shared" si="240"/>
        <v>3340113.1745962221</v>
      </c>
    </row>
    <row r="111" spans="1:53" s="253" customFormat="1" x14ac:dyDescent="0.25">
      <c r="A111" s="242" t="str">
        <f t="shared" ref="A111:M111" si="246">A10</f>
        <v>Equipo I2</v>
      </c>
      <c r="B111" s="242">
        <f t="shared" si="246"/>
        <v>0</v>
      </c>
      <c r="C111" s="242">
        <f t="shared" si="246"/>
        <v>1</v>
      </c>
      <c r="D111" s="242">
        <f t="shared" si="246"/>
        <v>0</v>
      </c>
      <c r="E111" s="242">
        <f t="shared" si="246"/>
        <v>0</v>
      </c>
      <c r="F111" s="242">
        <f t="shared" si="246"/>
        <v>0</v>
      </c>
      <c r="G111" s="242">
        <f t="shared" si="246"/>
        <v>0</v>
      </c>
      <c r="H111" s="242">
        <f t="shared" si="246"/>
        <v>0</v>
      </c>
      <c r="I111" s="242">
        <f t="shared" si="246"/>
        <v>0</v>
      </c>
      <c r="J111" s="242">
        <f t="shared" si="246"/>
        <v>0</v>
      </c>
      <c r="K111" s="242">
        <f t="shared" si="246"/>
        <v>0</v>
      </c>
      <c r="L111" s="242">
        <f t="shared" si="246"/>
        <v>0</v>
      </c>
      <c r="M111" s="242">
        <f t="shared" si="246"/>
        <v>1</v>
      </c>
      <c r="N111" s="257">
        <f t="shared" ref="N111:AO111" si="247">N10</f>
        <v>15010.4</v>
      </c>
      <c r="O111" s="257">
        <f t="shared" si="247"/>
        <v>15010.4</v>
      </c>
      <c r="P111" s="257">
        <f t="shared" si="247"/>
        <v>0</v>
      </c>
      <c r="Q111" s="257">
        <f t="shared" si="247"/>
        <v>15010.4</v>
      </c>
      <c r="R111" s="257">
        <f t="shared" si="247"/>
        <v>0</v>
      </c>
      <c r="S111" s="257">
        <f t="shared" si="247"/>
        <v>0</v>
      </c>
      <c r="T111" s="257">
        <f t="shared" si="247"/>
        <v>0</v>
      </c>
      <c r="U111" s="257">
        <f t="shared" si="247"/>
        <v>0</v>
      </c>
      <c r="V111" s="257">
        <f t="shared" si="247"/>
        <v>0</v>
      </c>
      <c r="W111" s="257">
        <f t="shared" si="247"/>
        <v>0</v>
      </c>
      <c r="X111" s="257">
        <f t="shared" si="247"/>
        <v>0</v>
      </c>
      <c r="Y111" s="257">
        <f t="shared" si="247"/>
        <v>0</v>
      </c>
      <c r="Z111" s="257">
        <f t="shared" si="247"/>
        <v>0</v>
      </c>
      <c r="AA111" s="380">
        <f t="shared" si="247"/>
        <v>15</v>
      </c>
      <c r="AB111" s="257">
        <f t="shared" si="247"/>
        <v>1000.6933333333333</v>
      </c>
      <c r="AC111" s="257">
        <f t="shared" si="247"/>
        <v>0</v>
      </c>
      <c r="AD111" s="257">
        <f t="shared" si="247"/>
        <v>0</v>
      </c>
      <c r="AE111" s="257">
        <f t="shared" si="247"/>
        <v>1000.6933333333333</v>
      </c>
      <c r="AF111" s="257">
        <f t="shared" si="247"/>
        <v>1000.6933333333333</v>
      </c>
      <c r="AG111" s="257">
        <f t="shared" si="247"/>
        <v>1000.6933333333333</v>
      </c>
      <c r="AH111" s="257">
        <f t="shared" si="247"/>
        <v>1000.6933333333333</v>
      </c>
      <c r="AI111" s="257">
        <f t="shared" si="247"/>
        <v>1000.6933333333333</v>
      </c>
      <c r="AJ111" s="257">
        <f t="shared" si="247"/>
        <v>1000.6933333333333</v>
      </c>
      <c r="AK111" s="257">
        <f t="shared" si="247"/>
        <v>1000.6933333333333</v>
      </c>
      <c r="AL111" s="257">
        <f t="shared" si="247"/>
        <v>1000.6933333333333</v>
      </c>
      <c r="AM111" s="257">
        <f t="shared" si="247"/>
        <v>1000.6933333333333</v>
      </c>
      <c r="AN111" s="257">
        <f t="shared" si="247"/>
        <v>9006.24</v>
      </c>
      <c r="AO111" s="257">
        <f t="shared" si="247"/>
        <v>6004.16</v>
      </c>
      <c r="AR111" s="400"/>
      <c r="AS111" s="400">
        <v>4</v>
      </c>
      <c r="AT111" s="400">
        <f>T178</f>
        <v>236428.43932861101</v>
      </c>
      <c r="AU111" s="400">
        <f>T198+T190</f>
        <v>0</v>
      </c>
      <c r="AV111" s="400">
        <f>T197</f>
        <v>0</v>
      </c>
      <c r="AW111" s="400">
        <f t="shared" si="239"/>
        <v>236428.43932861101</v>
      </c>
      <c r="AX111" s="400">
        <f>AG199</f>
        <v>1932586.6059152409</v>
      </c>
      <c r="AY111" s="400">
        <f>AY110+AW111-AX111</f>
        <v>10754089.783009592</v>
      </c>
      <c r="AZ111" s="400">
        <f>Préstamo!G15</f>
        <v>7808686.9500000002</v>
      </c>
      <c r="BA111" s="400">
        <f t="shared" si="240"/>
        <v>2945402.8330095923</v>
      </c>
    </row>
    <row r="112" spans="1:53" s="253" customFormat="1" x14ac:dyDescent="0.25">
      <c r="A112" s="242" t="str">
        <f t="shared" ref="A112:M112" si="248">A11</f>
        <v>Equipo I2</v>
      </c>
      <c r="B112" s="242">
        <f t="shared" si="248"/>
        <v>0</v>
      </c>
      <c r="C112" s="242">
        <f t="shared" si="248"/>
        <v>0</v>
      </c>
      <c r="D112" s="242">
        <f t="shared" si="248"/>
        <v>0</v>
      </c>
      <c r="E112" s="242">
        <f t="shared" si="248"/>
        <v>0</v>
      </c>
      <c r="F112" s="242">
        <f t="shared" si="248"/>
        <v>0</v>
      </c>
      <c r="G112" s="242">
        <f t="shared" si="248"/>
        <v>0</v>
      </c>
      <c r="H112" s="242">
        <f t="shared" si="248"/>
        <v>1</v>
      </c>
      <c r="I112" s="242">
        <f t="shared" si="248"/>
        <v>0</v>
      </c>
      <c r="J112" s="242">
        <f t="shared" si="248"/>
        <v>0</v>
      </c>
      <c r="K112" s="242">
        <f t="shared" si="248"/>
        <v>0</v>
      </c>
      <c r="L112" s="242">
        <f t="shared" si="248"/>
        <v>0</v>
      </c>
      <c r="M112" s="242">
        <f t="shared" si="248"/>
        <v>1</v>
      </c>
      <c r="N112" s="257">
        <f t="shared" ref="N112:AO112" si="249">N11</f>
        <v>15010.4</v>
      </c>
      <c r="O112" s="257">
        <f t="shared" si="249"/>
        <v>15010.4</v>
      </c>
      <c r="P112" s="257">
        <f t="shared" si="249"/>
        <v>0</v>
      </c>
      <c r="Q112" s="257">
        <f t="shared" si="249"/>
        <v>0</v>
      </c>
      <c r="R112" s="257">
        <f t="shared" si="249"/>
        <v>0</v>
      </c>
      <c r="S112" s="257">
        <f t="shared" si="249"/>
        <v>0</v>
      </c>
      <c r="T112" s="257">
        <f t="shared" si="249"/>
        <v>0</v>
      </c>
      <c r="U112" s="257">
        <f t="shared" si="249"/>
        <v>0</v>
      </c>
      <c r="V112" s="257">
        <f t="shared" si="249"/>
        <v>15010.4</v>
      </c>
      <c r="W112" s="257">
        <f t="shared" si="249"/>
        <v>0</v>
      </c>
      <c r="X112" s="257">
        <f t="shared" si="249"/>
        <v>0</v>
      </c>
      <c r="Y112" s="257">
        <f t="shared" si="249"/>
        <v>0</v>
      </c>
      <c r="Z112" s="257">
        <f t="shared" si="249"/>
        <v>0</v>
      </c>
      <c r="AA112" s="380">
        <f t="shared" si="249"/>
        <v>15</v>
      </c>
      <c r="AB112" s="257">
        <f t="shared" si="249"/>
        <v>1000.6933333333333</v>
      </c>
      <c r="AC112" s="257">
        <f t="shared" si="249"/>
        <v>0</v>
      </c>
      <c r="AD112" s="257">
        <f t="shared" si="249"/>
        <v>0</v>
      </c>
      <c r="AE112" s="257">
        <f t="shared" si="249"/>
        <v>0</v>
      </c>
      <c r="AF112" s="257">
        <f t="shared" si="249"/>
        <v>0</v>
      </c>
      <c r="AG112" s="257">
        <f t="shared" si="249"/>
        <v>0</v>
      </c>
      <c r="AH112" s="257">
        <f t="shared" si="249"/>
        <v>0</v>
      </c>
      <c r="AI112" s="257">
        <f t="shared" si="249"/>
        <v>0</v>
      </c>
      <c r="AJ112" s="257">
        <f t="shared" si="249"/>
        <v>1000.6933333333333</v>
      </c>
      <c r="AK112" s="257">
        <f t="shared" si="249"/>
        <v>1000.6933333333333</v>
      </c>
      <c r="AL112" s="257">
        <f t="shared" si="249"/>
        <v>1000.6933333333333</v>
      </c>
      <c r="AM112" s="257">
        <f t="shared" si="249"/>
        <v>1000.6933333333333</v>
      </c>
      <c r="AN112" s="257">
        <f t="shared" si="249"/>
        <v>4002.7733333333331</v>
      </c>
      <c r="AO112" s="257">
        <f t="shared" si="249"/>
        <v>11007.626666666667</v>
      </c>
      <c r="AS112" s="400">
        <v>5</v>
      </c>
      <c r="AT112" s="400">
        <f>U178</f>
        <v>39875</v>
      </c>
      <c r="AU112" s="400">
        <f>U198+U190</f>
        <v>0</v>
      </c>
      <c r="AV112" s="400">
        <f>U197</f>
        <v>0</v>
      </c>
      <c r="AW112" s="400">
        <f t="shared" si="239"/>
        <v>39875</v>
      </c>
      <c r="AX112" s="400">
        <f>AH199</f>
        <v>1948348.5018704818</v>
      </c>
      <c r="AY112" s="400">
        <f t="shared" si="243"/>
        <v>8845616.2811391111</v>
      </c>
      <c r="AZ112" s="400">
        <f>Préstamo!G16</f>
        <v>6507239.125</v>
      </c>
      <c r="BA112" s="400">
        <f t="shared" si="240"/>
        <v>2338377.1561391111</v>
      </c>
    </row>
    <row r="113" spans="1:53" s="253" customFormat="1" x14ac:dyDescent="0.25">
      <c r="A113" s="242" t="str">
        <f t="shared" ref="A113:M113" si="250">A12</f>
        <v>Equipo I3</v>
      </c>
      <c r="B113" s="242">
        <f t="shared" si="250"/>
        <v>2</v>
      </c>
      <c r="C113" s="242">
        <f t="shared" si="250"/>
        <v>0</v>
      </c>
      <c r="D113" s="242">
        <f t="shared" si="250"/>
        <v>0</v>
      </c>
      <c r="E113" s="242">
        <f t="shared" si="250"/>
        <v>0</v>
      </c>
      <c r="F113" s="242">
        <f t="shared" si="250"/>
        <v>0</v>
      </c>
      <c r="G113" s="242">
        <f t="shared" si="250"/>
        <v>0</v>
      </c>
      <c r="H113" s="242">
        <f t="shared" si="250"/>
        <v>0</v>
      </c>
      <c r="I113" s="242">
        <f t="shared" si="250"/>
        <v>0</v>
      </c>
      <c r="J113" s="242">
        <f t="shared" si="250"/>
        <v>0</v>
      </c>
      <c r="K113" s="242">
        <f t="shared" si="250"/>
        <v>0</v>
      </c>
      <c r="L113" s="242">
        <f t="shared" si="250"/>
        <v>0</v>
      </c>
      <c r="M113" s="242">
        <f t="shared" si="250"/>
        <v>2</v>
      </c>
      <c r="N113" s="257">
        <f t="shared" ref="N113:AO113" si="251">N12</f>
        <v>8856.4</v>
      </c>
      <c r="O113" s="257">
        <f t="shared" si="251"/>
        <v>17712.8</v>
      </c>
      <c r="P113" s="257">
        <f t="shared" si="251"/>
        <v>17712.8</v>
      </c>
      <c r="Q113" s="257">
        <f t="shared" si="251"/>
        <v>0</v>
      </c>
      <c r="R113" s="257">
        <f t="shared" si="251"/>
        <v>0</v>
      </c>
      <c r="S113" s="257">
        <f t="shared" si="251"/>
        <v>0</v>
      </c>
      <c r="T113" s="257">
        <f t="shared" si="251"/>
        <v>0</v>
      </c>
      <c r="U113" s="257">
        <f t="shared" si="251"/>
        <v>0</v>
      </c>
      <c r="V113" s="257">
        <f t="shared" si="251"/>
        <v>0</v>
      </c>
      <c r="W113" s="257">
        <f t="shared" si="251"/>
        <v>0</v>
      </c>
      <c r="X113" s="257">
        <f t="shared" si="251"/>
        <v>0</v>
      </c>
      <c r="Y113" s="257">
        <f t="shared" si="251"/>
        <v>0</v>
      </c>
      <c r="Z113" s="257">
        <f t="shared" si="251"/>
        <v>0</v>
      </c>
      <c r="AA113" s="380">
        <f t="shared" si="251"/>
        <v>15</v>
      </c>
      <c r="AB113" s="257">
        <f t="shared" si="251"/>
        <v>1180.8533333333332</v>
      </c>
      <c r="AC113" s="257">
        <f t="shared" si="251"/>
        <v>0</v>
      </c>
      <c r="AD113" s="257">
        <f t="shared" si="251"/>
        <v>1180.8533333333332</v>
      </c>
      <c r="AE113" s="257">
        <f t="shared" si="251"/>
        <v>1180.8533333333332</v>
      </c>
      <c r="AF113" s="257">
        <f t="shared" si="251"/>
        <v>1180.8533333333332</v>
      </c>
      <c r="AG113" s="257">
        <f t="shared" si="251"/>
        <v>1180.8533333333332</v>
      </c>
      <c r="AH113" s="257">
        <f t="shared" si="251"/>
        <v>1180.8533333333332</v>
      </c>
      <c r="AI113" s="257">
        <f t="shared" si="251"/>
        <v>1180.8533333333332</v>
      </c>
      <c r="AJ113" s="257">
        <f t="shared" si="251"/>
        <v>1180.8533333333332</v>
      </c>
      <c r="AK113" s="257">
        <f t="shared" si="251"/>
        <v>1180.8533333333332</v>
      </c>
      <c r="AL113" s="257">
        <f t="shared" si="251"/>
        <v>1180.8533333333332</v>
      </c>
      <c r="AM113" s="257">
        <f t="shared" si="251"/>
        <v>1180.8533333333332</v>
      </c>
      <c r="AN113" s="257">
        <f t="shared" si="251"/>
        <v>11808.533333333331</v>
      </c>
      <c r="AO113" s="257">
        <f t="shared" si="251"/>
        <v>5904.2666666666682</v>
      </c>
      <c r="AS113" s="400">
        <v>6</v>
      </c>
      <c r="AT113" s="400">
        <f>V178</f>
        <v>237300.43920000002</v>
      </c>
      <c r="AU113" s="400">
        <f>V198+V190</f>
        <v>0</v>
      </c>
      <c r="AV113" s="400">
        <f>V197</f>
        <v>0</v>
      </c>
      <c r="AW113" s="400">
        <f t="shared" si="239"/>
        <v>237300.43920000002</v>
      </c>
      <c r="AX113" s="400">
        <f>AI199</f>
        <v>673244.67880381492</v>
      </c>
      <c r="AY113" s="400">
        <f t="shared" si="243"/>
        <v>8409672.0415352974</v>
      </c>
      <c r="AZ113" s="400">
        <f>Préstamo!G17</f>
        <v>5205791.3</v>
      </c>
      <c r="BA113" s="400">
        <f t="shared" si="240"/>
        <v>3203880.7415352976</v>
      </c>
    </row>
    <row r="114" spans="1:53" s="253" customFormat="1" x14ac:dyDescent="0.25">
      <c r="A114" s="242" t="str">
        <f t="shared" ref="A114:M114" si="252">A13</f>
        <v>Equipo I3</v>
      </c>
      <c r="B114" s="242">
        <f t="shared" si="252"/>
        <v>0</v>
      </c>
      <c r="C114" s="242">
        <f t="shared" si="252"/>
        <v>2</v>
      </c>
      <c r="D114" s="242">
        <f t="shared" si="252"/>
        <v>0</v>
      </c>
      <c r="E114" s="242">
        <f t="shared" si="252"/>
        <v>0</v>
      </c>
      <c r="F114" s="242">
        <f t="shared" si="252"/>
        <v>0</v>
      </c>
      <c r="G114" s="242">
        <f t="shared" si="252"/>
        <v>0</v>
      </c>
      <c r="H114" s="242">
        <f t="shared" si="252"/>
        <v>0</v>
      </c>
      <c r="I114" s="242">
        <f t="shared" si="252"/>
        <v>0</v>
      </c>
      <c r="J114" s="242">
        <f t="shared" si="252"/>
        <v>0</v>
      </c>
      <c r="K114" s="242">
        <f t="shared" si="252"/>
        <v>0</v>
      </c>
      <c r="L114" s="242">
        <f t="shared" si="252"/>
        <v>0</v>
      </c>
      <c r="M114" s="242">
        <f t="shared" si="252"/>
        <v>2</v>
      </c>
      <c r="N114" s="257">
        <f t="shared" ref="N114:AO114" si="253">N13</f>
        <v>8856.4</v>
      </c>
      <c r="O114" s="257">
        <f t="shared" si="253"/>
        <v>17712.8</v>
      </c>
      <c r="P114" s="257">
        <f t="shared" si="253"/>
        <v>0</v>
      </c>
      <c r="Q114" s="257">
        <f t="shared" si="253"/>
        <v>17712.8</v>
      </c>
      <c r="R114" s="257">
        <f t="shared" si="253"/>
        <v>0</v>
      </c>
      <c r="S114" s="257">
        <f t="shared" si="253"/>
        <v>0</v>
      </c>
      <c r="T114" s="257">
        <f t="shared" si="253"/>
        <v>0</v>
      </c>
      <c r="U114" s="257">
        <f t="shared" si="253"/>
        <v>0</v>
      </c>
      <c r="V114" s="257">
        <f t="shared" si="253"/>
        <v>0</v>
      </c>
      <c r="W114" s="257">
        <f t="shared" si="253"/>
        <v>0</v>
      </c>
      <c r="X114" s="257">
        <f t="shared" si="253"/>
        <v>0</v>
      </c>
      <c r="Y114" s="257">
        <f t="shared" si="253"/>
        <v>0</v>
      </c>
      <c r="Z114" s="257">
        <f t="shared" si="253"/>
        <v>0</v>
      </c>
      <c r="AA114" s="380">
        <f t="shared" si="253"/>
        <v>15</v>
      </c>
      <c r="AB114" s="257">
        <f t="shared" si="253"/>
        <v>1180.8533333333332</v>
      </c>
      <c r="AC114" s="257">
        <f t="shared" si="253"/>
        <v>0</v>
      </c>
      <c r="AD114" s="257">
        <f t="shared" si="253"/>
        <v>0</v>
      </c>
      <c r="AE114" s="257">
        <f t="shared" si="253"/>
        <v>1180.8533333333332</v>
      </c>
      <c r="AF114" s="257">
        <f t="shared" si="253"/>
        <v>1180.8533333333332</v>
      </c>
      <c r="AG114" s="257">
        <f t="shared" si="253"/>
        <v>1180.8533333333332</v>
      </c>
      <c r="AH114" s="257">
        <f t="shared" si="253"/>
        <v>1180.8533333333332</v>
      </c>
      <c r="AI114" s="257">
        <f t="shared" si="253"/>
        <v>1180.8533333333332</v>
      </c>
      <c r="AJ114" s="257">
        <f t="shared" si="253"/>
        <v>1180.8533333333332</v>
      </c>
      <c r="AK114" s="257">
        <f t="shared" si="253"/>
        <v>1180.8533333333332</v>
      </c>
      <c r="AL114" s="257">
        <f t="shared" si="253"/>
        <v>1180.8533333333332</v>
      </c>
      <c r="AM114" s="257">
        <f t="shared" si="253"/>
        <v>1180.8533333333332</v>
      </c>
      <c r="AN114" s="257">
        <f t="shared" si="253"/>
        <v>10627.679999999998</v>
      </c>
      <c r="AO114" s="257">
        <f t="shared" si="253"/>
        <v>7085.1200000000008</v>
      </c>
      <c r="AS114" s="400">
        <v>7</v>
      </c>
      <c r="AT114" s="400">
        <f>W178</f>
        <v>0</v>
      </c>
      <c r="AU114" s="400">
        <f>W198+W190</f>
        <v>0</v>
      </c>
      <c r="AV114" s="400">
        <f>W197</f>
        <v>0</v>
      </c>
      <c r="AW114" s="400">
        <f t="shared" si="239"/>
        <v>0</v>
      </c>
      <c r="AX114" s="400">
        <f>AJ199</f>
        <v>682398.0414171482</v>
      </c>
      <c r="AY114" s="400">
        <f t="shared" si="243"/>
        <v>7727274.0001181494</v>
      </c>
      <c r="AZ114" s="400">
        <f>Préstamo!G18</f>
        <v>3904343.4749999996</v>
      </c>
      <c r="BA114" s="400">
        <f t="shared" si="240"/>
        <v>3822930.5251181498</v>
      </c>
    </row>
    <row r="115" spans="1:53" s="253" customFormat="1" x14ac:dyDescent="0.25">
      <c r="A115" s="242" t="str">
        <f t="shared" ref="A115:M115" si="254">A14</f>
        <v>Equipo I3</v>
      </c>
      <c r="B115" s="242">
        <f t="shared" si="254"/>
        <v>0</v>
      </c>
      <c r="C115" s="242">
        <f t="shared" si="254"/>
        <v>0</v>
      </c>
      <c r="D115" s="242">
        <f t="shared" si="254"/>
        <v>0</v>
      </c>
      <c r="E115" s="242">
        <f t="shared" si="254"/>
        <v>0</v>
      </c>
      <c r="F115" s="242">
        <f t="shared" si="254"/>
        <v>0</v>
      </c>
      <c r="G115" s="242">
        <f t="shared" si="254"/>
        <v>0</v>
      </c>
      <c r="H115" s="242">
        <f t="shared" si="254"/>
        <v>2</v>
      </c>
      <c r="I115" s="242">
        <f t="shared" si="254"/>
        <v>0</v>
      </c>
      <c r="J115" s="242">
        <f t="shared" si="254"/>
        <v>0</v>
      </c>
      <c r="K115" s="242">
        <f t="shared" si="254"/>
        <v>0</v>
      </c>
      <c r="L115" s="242">
        <f t="shared" si="254"/>
        <v>0</v>
      </c>
      <c r="M115" s="242">
        <f t="shared" si="254"/>
        <v>2</v>
      </c>
      <c r="N115" s="257">
        <f t="shared" ref="N115:AO115" si="255">N14</f>
        <v>8856.4</v>
      </c>
      <c r="O115" s="257">
        <f t="shared" si="255"/>
        <v>17712.8</v>
      </c>
      <c r="P115" s="257">
        <f t="shared" si="255"/>
        <v>0</v>
      </c>
      <c r="Q115" s="257">
        <f t="shared" si="255"/>
        <v>0</v>
      </c>
      <c r="R115" s="257">
        <f t="shared" si="255"/>
        <v>0</v>
      </c>
      <c r="S115" s="257">
        <f t="shared" si="255"/>
        <v>0</v>
      </c>
      <c r="T115" s="257">
        <f t="shared" si="255"/>
        <v>0</v>
      </c>
      <c r="U115" s="257">
        <f t="shared" si="255"/>
        <v>0</v>
      </c>
      <c r="V115" s="257">
        <f t="shared" si="255"/>
        <v>17712.8</v>
      </c>
      <c r="W115" s="257">
        <f t="shared" si="255"/>
        <v>0</v>
      </c>
      <c r="X115" s="257">
        <f t="shared" si="255"/>
        <v>0</v>
      </c>
      <c r="Y115" s="257">
        <f t="shared" si="255"/>
        <v>0</v>
      </c>
      <c r="Z115" s="257">
        <f t="shared" si="255"/>
        <v>0</v>
      </c>
      <c r="AA115" s="380">
        <f t="shared" si="255"/>
        <v>15</v>
      </c>
      <c r="AB115" s="257">
        <f t="shared" si="255"/>
        <v>1180.8533333333332</v>
      </c>
      <c r="AC115" s="257">
        <f t="shared" si="255"/>
        <v>0</v>
      </c>
      <c r="AD115" s="257">
        <f t="shared" si="255"/>
        <v>0</v>
      </c>
      <c r="AE115" s="257">
        <f t="shared" si="255"/>
        <v>0</v>
      </c>
      <c r="AF115" s="257">
        <f t="shared" si="255"/>
        <v>0</v>
      </c>
      <c r="AG115" s="257">
        <f t="shared" si="255"/>
        <v>0</v>
      </c>
      <c r="AH115" s="257">
        <f t="shared" si="255"/>
        <v>0</v>
      </c>
      <c r="AI115" s="257">
        <f t="shared" si="255"/>
        <v>0</v>
      </c>
      <c r="AJ115" s="257">
        <f t="shared" si="255"/>
        <v>1180.8533333333332</v>
      </c>
      <c r="AK115" s="257">
        <f t="shared" si="255"/>
        <v>1180.8533333333332</v>
      </c>
      <c r="AL115" s="257">
        <f t="shared" si="255"/>
        <v>1180.8533333333332</v>
      </c>
      <c r="AM115" s="257">
        <f t="shared" si="255"/>
        <v>1180.8533333333332</v>
      </c>
      <c r="AN115" s="257">
        <f t="shared" si="255"/>
        <v>4723.413333333333</v>
      </c>
      <c r="AO115" s="257">
        <f t="shared" si="255"/>
        <v>12989.386666666665</v>
      </c>
      <c r="AS115" s="400">
        <v>8</v>
      </c>
      <c r="AT115" s="400">
        <f>X178</f>
        <v>0</v>
      </c>
      <c r="AU115" s="400">
        <f>X198+X190</f>
        <v>0</v>
      </c>
      <c r="AV115" s="400">
        <f>X197</f>
        <v>0</v>
      </c>
      <c r="AW115" s="400">
        <f t="shared" si="239"/>
        <v>0</v>
      </c>
      <c r="AX115" s="400">
        <f>AK199</f>
        <v>682398.0414171482</v>
      </c>
      <c r="AY115" s="400">
        <f t="shared" si="243"/>
        <v>7044875.9587010015</v>
      </c>
      <c r="AZ115" s="400">
        <f>Préstamo!G19</f>
        <v>2602895.6499999994</v>
      </c>
      <c r="BA115" s="400">
        <f t="shared" si="240"/>
        <v>4441980.308701002</v>
      </c>
    </row>
    <row r="116" spans="1:53" s="253" customFormat="1" x14ac:dyDescent="0.25">
      <c r="A116" s="242" t="str">
        <f t="shared" ref="A116:M116" si="256">A15</f>
        <v>Equipo I4</v>
      </c>
      <c r="B116" s="242">
        <f t="shared" si="256"/>
        <v>1</v>
      </c>
      <c r="C116" s="242">
        <f t="shared" si="256"/>
        <v>0</v>
      </c>
      <c r="D116" s="242">
        <f t="shared" si="256"/>
        <v>0</v>
      </c>
      <c r="E116" s="242">
        <f t="shared" si="256"/>
        <v>0</v>
      </c>
      <c r="F116" s="242">
        <f t="shared" si="256"/>
        <v>0</v>
      </c>
      <c r="G116" s="242">
        <f t="shared" si="256"/>
        <v>0</v>
      </c>
      <c r="H116" s="242">
        <f t="shared" si="256"/>
        <v>0</v>
      </c>
      <c r="I116" s="242">
        <f t="shared" si="256"/>
        <v>0</v>
      </c>
      <c r="J116" s="242">
        <f t="shared" si="256"/>
        <v>0</v>
      </c>
      <c r="K116" s="242">
        <f t="shared" si="256"/>
        <v>0</v>
      </c>
      <c r="L116" s="242">
        <f t="shared" si="256"/>
        <v>0</v>
      </c>
      <c r="M116" s="242">
        <f t="shared" si="256"/>
        <v>1</v>
      </c>
      <c r="N116" s="257">
        <f t="shared" ref="N116:AO116" si="257">N15</f>
        <v>20205.8</v>
      </c>
      <c r="O116" s="257">
        <f t="shared" si="257"/>
        <v>20205.8</v>
      </c>
      <c r="P116" s="257">
        <f t="shared" si="257"/>
        <v>20205.8</v>
      </c>
      <c r="Q116" s="257">
        <f t="shared" si="257"/>
        <v>0</v>
      </c>
      <c r="R116" s="257">
        <f t="shared" si="257"/>
        <v>0</v>
      </c>
      <c r="S116" s="257">
        <f t="shared" si="257"/>
        <v>0</v>
      </c>
      <c r="T116" s="257">
        <f t="shared" si="257"/>
        <v>0</v>
      </c>
      <c r="U116" s="257">
        <f t="shared" si="257"/>
        <v>0</v>
      </c>
      <c r="V116" s="257">
        <f t="shared" si="257"/>
        <v>0</v>
      </c>
      <c r="W116" s="257">
        <f t="shared" si="257"/>
        <v>0</v>
      </c>
      <c r="X116" s="257">
        <f t="shared" si="257"/>
        <v>0</v>
      </c>
      <c r="Y116" s="257">
        <f t="shared" si="257"/>
        <v>0</v>
      </c>
      <c r="Z116" s="257">
        <f t="shared" si="257"/>
        <v>0</v>
      </c>
      <c r="AA116" s="380">
        <f t="shared" si="257"/>
        <v>15</v>
      </c>
      <c r="AB116" s="257">
        <f t="shared" si="257"/>
        <v>1347.0533333333333</v>
      </c>
      <c r="AC116" s="257">
        <f t="shared" si="257"/>
        <v>0</v>
      </c>
      <c r="AD116" s="257">
        <f t="shared" si="257"/>
        <v>1347.0533333333333</v>
      </c>
      <c r="AE116" s="257">
        <f t="shared" si="257"/>
        <v>1347.0533333333333</v>
      </c>
      <c r="AF116" s="257">
        <f t="shared" si="257"/>
        <v>1347.0533333333333</v>
      </c>
      <c r="AG116" s="257">
        <f t="shared" si="257"/>
        <v>1347.0533333333333</v>
      </c>
      <c r="AH116" s="257">
        <f t="shared" si="257"/>
        <v>1347.0533333333333</v>
      </c>
      <c r="AI116" s="257">
        <f t="shared" si="257"/>
        <v>1347.0533333333333</v>
      </c>
      <c r="AJ116" s="257">
        <f t="shared" si="257"/>
        <v>1347.0533333333333</v>
      </c>
      <c r="AK116" s="257">
        <f t="shared" si="257"/>
        <v>1347.0533333333333</v>
      </c>
      <c r="AL116" s="257">
        <f t="shared" si="257"/>
        <v>1347.0533333333333</v>
      </c>
      <c r="AM116" s="257">
        <f t="shared" si="257"/>
        <v>1347.0533333333333</v>
      </c>
      <c r="AN116" s="257">
        <f t="shared" si="257"/>
        <v>13470.533333333333</v>
      </c>
      <c r="AO116" s="257">
        <f t="shared" si="257"/>
        <v>6735.2666666666664</v>
      </c>
      <c r="AS116" s="400">
        <v>9</v>
      </c>
      <c r="AT116" s="400">
        <f>Y178</f>
        <v>0</v>
      </c>
      <c r="AU116" s="400">
        <f>Y198+Y190</f>
        <v>0</v>
      </c>
      <c r="AV116" s="400">
        <f>Y197</f>
        <v>0</v>
      </c>
      <c r="AW116" s="400">
        <f t="shared" si="239"/>
        <v>0</v>
      </c>
      <c r="AX116" s="400">
        <f>AL199</f>
        <v>682398.0414171482</v>
      </c>
      <c r="AY116" s="400">
        <f t="shared" si="243"/>
        <v>6362477.9172838535</v>
      </c>
      <c r="AZ116" s="400">
        <f>Préstamo!G20</f>
        <v>1301447.8249999995</v>
      </c>
      <c r="BA116" s="400">
        <f t="shared" si="240"/>
        <v>5061030.0922838543</v>
      </c>
    </row>
    <row r="117" spans="1:53" s="253" customFormat="1" x14ac:dyDescent="0.25">
      <c r="A117" s="242" t="str">
        <f t="shared" ref="A117:M117" si="258">A16</f>
        <v>Equipo I5</v>
      </c>
      <c r="B117" s="242">
        <f t="shared" si="258"/>
        <v>3</v>
      </c>
      <c r="C117" s="242">
        <f t="shared" si="258"/>
        <v>0</v>
      </c>
      <c r="D117" s="242">
        <f t="shared" si="258"/>
        <v>0</v>
      </c>
      <c r="E117" s="242">
        <f t="shared" si="258"/>
        <v>0</v>
      </c>
      <c r="F117" s="242">
        <f t="shared" si="258"/>
        <v>0</v>
      </c>
      <c r="G117" s="242">
        <f t="shared" si="258"/>
        <v>0</v>
      </c>
      <c r="H117" s="242">
        <f t="shared" si="258"/>
        <v>0</v>
      </c>
      <c r="I117" s="242">
        <f t="shared" si="258"/>
        <v>0</v>
      </c>
      <c r="J117" s="242">
        <f t="shared" si="258"/>
        <v>0</v>
      </c>
      <c r="K117" s="242">
        <f t="shared" si="258"/>
        <v>0</v>
      </c>
      <c r="L117" s="242">
        <f t="shared" si="258"/>
        <v>0</v>
      </c>
      <c r="M117" s="242">
        <f t="shared" si="258"/>
        <v>3</v>
      </c>
      <c r="N117" s="257">
        <f t="shared" ref="N117:AO117" si="259">N16</f>
        <v>15317</v>
      </c>
      <c r="O117" s="257">
        <f t="shared" si="259"/>
        <v>45951</v>
      </c>
      <c r="P117" s="257">
        <f t="shared" si="259"/>
        <v>45951</v>
      </c>
      <c r="Q117" s="257">
        <f t="shared" si="259"/>
        <v>0</v>
      </c>
      <c r="R117" s="257">
        <f t="shared" si="259"/>
        <v>0</v>
      </c>
      <c r="S117" s="257">
        <f t="shared" si="259"/>
        <v>0</v>
      </c>
      <c r="T117" s="257">
        <f t="shared" si="259"/>
        <v>0</v>
      </c>
      <c r="U117" s="257">
        <f t="shared" si="259"/>
        <v>0</v>
      </c>
      <c r="V117" s="257">
        <f t="shared" si="259"/>
        <v>0</v>
      </c>
      <c r="W117" s="257">
        <f t="shared" si="259"/>
        <v>0</v>
      </c>
      <c r="X117" s="257">
        <f t="shared" si="259"/>
        <v>0</v>
      </c>
      <c r="Y117" s="257">
        <f t="shared" si="259"/>
        <v>0</v>
      </c>
      <c r="Z117" s="257">
        <f t="shared" si="259"/>
        <v>0</v>
      </c>
      <c r="AA117" s="380">
        <f t="shared" si="259"/>
        <v>15</v>
      </c>
      <c r="AB117" s="257">
        <f t="shared" si="259"/>
        <v>3063.4</v>
      </c>
      <c r="AC117" s="257">
        <f t="shared" si="259"/>
        <v>0</v>
      </c>
      <c r="AD117" s="257">
        <f t="shared" si="259"/>
        <v>3063.4</v>
      </c>
      <c r="AE117" s="257">
        <f t="shared" si="259"/>
        <v>3063.4</v>
      </c>
      <c r="AF117" s="257">
        <f t="shared" si="259"/>
        <v>3063.4</v>
      </c>
      <c r="AG117" s="257">
        <f t="shared" si="259"/>
        <v>3063.4</v>
      </c>
      <c r="AH117" s="257">
        <f t="shared" si="259"/>
        <v>3063.4</v>
      </c>
      <c r="AI117" s="257">
        <f t="shared" si="259"/>
        <v>3063.4</v>
      </c>
      <c r="AJ117" s="257">
        <f t="shared" si="259"/>
        <v>3063.4</v>
      </c>
      <c r="AK117" s="257">
        <f t="shared" si="259"/>
        <v>3063.4</v>
      </c>
      <c r="AL117" s="257">
        <f t="shared" si="259"/>
        <v>3063.4</v>
      </c>
      <c r="AM117" s="257">
        <f t="shared" si="259"/>
        <v>3063.4</v>
      </c>
      <c r="AN117" s="257">
        <f t="shared" si="259"/>
        <v>30634.000000000007</v>
      </c>
      <c r="AO117" s="257">
        <f t="shared" si="259"/>
        <v>15316.999999999993</v>
      </c>
      <c r="AS117" s="400">
        <v>10</v>
      </c>
      <c r="AT117" s="400">
        <f>Z178</f>
        <v>0</v>
      </c>
      <c r="AU117" s="400">
        <f>Z198+Z190</f>
        <v>0</v>
      </c>
      <c r="AV117" s="400">
        <f>Z197</f>
        <v>0</v>
      </c>
      <c r="AW117" s="400">
        <f t="shared" si="239"/>
        <v>0</v>
      </c>
      <c r="AX117" s="400">
        <f>AM199</f>
        <v>682398.0414171482</v>
      </c>
      <c r="AY117" s="400">
        <f t="shared" si="243"/>
        <v>5680079.8758667056</v>
      </c>
      <c r="AZ117" s="400">
        <f>Préstamo!G21</f>
        <v>0</v>
      </c>
      <c r="BA117" s="400">
        <f t="shared" si="240"/>
        <v>5680079.8758667056</v>
      </c>
    </row>
    <row r="118" spans="1:53" s="253" customFormat="1" x14ac:dyDescent="0.25">
      <c r="A118" s="242" t="str">
        <f t="shared" ref="A118:M118" si="260">A17</f>
        <v>Equipo I5</v>
      </c>
      <c r="B118" s="242">
        <f t="shared" si="260"/>
        <v>0</v>
      </c>
      <c r="C118" s="242">
        <f t="shared" si="260"/>
        <v>0</v>
      </c>
      <c r="D118" s="242">
        <f t="shared" si="260"/>
        <v>0</v>
      </c>
      <c r="E118" s="242">
        <f t="shared" si="260"/>
        <v>1</v>
      </c>
      <c r="F118" s="242">
        <f t="shared" si="260"/>
        <v>0</v>
      </c>
      <c r="G118" s="242">
        <f t="shared" si="260"/>
        <v>0</v>
      </c>
      <c r="H118" s="242">
        <f t="shared" si="260"/>
        <v>0</v>
      </c>
      <c r="I118" s="242">
        <f t="shared" si="260"/>
        <v>0</v>
      </c>
      <c r="J118" s="242">
        <f t="shared" si="260"/>
        <v>0</v>
      </c>
      <c r="K118" s="242">
        <f t="shared" si="260"/>
        <v>0</v>
      </c>
      <c r="L118" s="242">
        <f t="shared" si="260"/>
        <v>0</v>
      </c>
      <c r="M118" s="242">
        <f t="shared" si="260"/>
        <v>1</v>
      </c>
      <c r="N118" s="257">
        <f t="shared" ref="N118:AO118" si="261">N17</f>
        <v>15317</v>
      </c>
      <c r="O118" s="257">
        <f t="shared" si="261"/>
        <v>15317</v>
      </c>
      <c r="P118" s="257">
        <f t="shared" si="261"/>
        <v>0</v>
      </c>
      <c r="Q118" s="257">
        <f t="shared" si="261"/>
        <v>0</v>
      </c>
      <c r="R118" s="257">
        <f t="shared" si="261"/>
        <v>0</v>
      </c>
      <c r="S118" s="257">
        <f t="shared" si="261"/>
        <v>15317</v>
      </c>
      <c r="T118" s="257">
        <f t="shared" si="261"/>
        <v>0</v>
      </c>
      <c r="U118" s="257">
        <f t="shared" si="261"/>
        <v>0</v>
      </c>
      <c r="V118" s="257">
        <f t="shared" si="261"/>
        <v>0</v>
      </c>
      <c r="W118" s="257">
        <f t="shared" si="261"/>
        <v>0</v>
      </c>
      <c r="X118" s="257">
        <f t="shared" si="261"/>
        <v>0</v>
      </c>
      <c r="Y118" s="257">
        <f t="shared" si="261"/>
        <v>0</v>
      </c>
      <c r="Z118" s="257">
        <f t="shared" si="261"/>
        <v>0</v>
      </c>
      <c r="AA118" s="380">
        <f t="shared" si="261"/>
        <v>15</v>
      </c>
      <c r="AB118" s="257">
        <f t="shared" si="261"/>
        <v>1021.1333333333333</v>
      </c>
      <c r="AC118" s="257">
        <f t="shared" si="261"/>
        <v>0</v>
      </c>
      <c r="AD118" s="257">
        <f t="shared" si="261"/>
        <v>0</v>
      </c>
      <c r="AE118" s="257">
        <f t="shared" si="261"/>
        <v>0</v>
      </c>
      <c r="AF118" s="257">
        <f t="shared" si="261"/>
        <v>0</v>
      </c>
      <c r="AG118" s="257">
        <f t="shared" si="261"/>
        <v>1021.1333333333333</v>
      </c>
      <c r="AH118" s="257">
        <f t="shared" si="261"/>
        <v>1021.1333333333333</v>
      </c>
      <c r="AI118" s="257">
        <f t="shared" si="261"/>
        <v>1021.1333333333333</v>
      </c>
      <c r="AJ118" s="257">
        <f t="shared" si="261"/>
        <v>1021.1333333333333</v>
      </c>
      <c r="AK118" s="257">
        <f t="shared" si="261"/>
        <v>1021.1333333333333</v>
      </c>
      <c r="AL118" s="257">
        <f t="shared" si="261"/>
        <v>1021.1333333333333</v>
      </c>
      <c r="AM118" s="257">
        <f t="shared" si="261"/>
        <v>1021.1333333333333</v>
      </c>
      <c r="AN118" s="257">
        <f t="shared" si="261"/>
        <v>7147.9333333333334</v>
      </c>
      <c r="AO118" s="257">
        <f t="shared" si="261"/>
        <v>8169.0666666666666</v>
      </c>
      <c r="AS118" s="400"/>
      <c r="AT118" s="417">
        <f t="shared" ref="AT118" si="262">SUM(AT107:AT117)</f>
        <v>10995970.621257225</v>
      </c>
      <c r="AU118" s="417">
        <f t="shared" ref="AU118" si="263">SUM(AU107:AU117)</f>
        <v>6388810.7820000006</v>
      </c>
      <c r="AV118" s="417">
        <f t="shared" ref="AV118" si="264">SUM(AV107:AV117)</f>
        <v>1300000</v>
      </c>
      <c r="AW118" s="417">
        <f>SUM(AW107:AW117)</f>
        <v>18684781.403257221</v>
      </c>
      <c r="AX118" s="417">
        <f t="shared" ref="AX118" si="265">SUM(AX107:AX117)</f>
        <v>13004701.527390519</v>
      </c>
      <c r="AY118" s="400"/>
      <c r="AZ118" s="400"/>
      <c r="BA118" s="400"/>
    </row>
    <row r="119" spans="1:53" s="253" customFormat="1" x14ac:dyDescent="0.25">
      <c r="A119" s="242" t="str">
        <f t="shared" ref="A119:M119" si="266">A18</f>
        <v>Equipo I6</v>
      </c>
      <c r="B119" s="242">
        <f t="shared" si="266"/>
        <v>1</v>
      </c>
      <c r="C119" s="242">
        <f t="shared" si="266"/>
        <v>0</v>
      </c>
      <c r="D119" s="242">
        <f t="shared" si="266"/>
        <v>0</v>
      </c>
      <c r="E119" s="242">
        <f t="shared" si="266"/>
        <v>0</v>
      </c>
      <c r="F119" s="242">
        <f t="shared" si="266"/>
        <v>0</v>
      </c>
      <c r="G119" s="242">
        <f t="shared" si="266"/>
        <v>0</v>
      </c>
      <c r="H119" s="242">
        <f t="shared" si="266"/>
        <v>0</v>
      </c>
      <c r="I119" s="242">
        <f t="shared" si="266"/>
        <v>0</v>
      </c>
      <c r="J119" s="242">
        <f t="shared" si="266"/>
        <v>0</v>
      </c>
      <c r="K119" s="242">
        <f t="shared" si="266"/>
        <v>0</v>
      </c>
      <c r="L119" s="242">
        <f t="shared" si="266"/>
        <v>0</v>
      </c>
      <c r="M119" s="242">
        <f t="shared" si="266"/>
        <v>1</v>
      </c>
      <c r="N119" s="257">
        <f t="shared" ref="N119:AO119" si="267">N18</f>
        <v>81171</v>
      </c>
      <c r="O119" s="257">
        <f t="shared" si="267"/>
        <v>81171</v>
      </c>
      <c r="P119" s="257">
        <f t="shared" si="267"/>
        <v>81171</v>
      </c>
      <c r="Q119" s="257">
        <f t="shared" si="267"/>
        <v>0</v>
      </c>
      <c r="R119" s="257">
        <f t="shared" si="267"/>
        <v>0</v>
      </c>
      <c r="S119" s="257">
        <f t="shared" si="267"/>
        <v>0</v>
      </c>
      <c r="T119" s="257">
        <f t="shared" si="267"/>
        <v>0</v>
      </c>
      <c r="U119" s="257">
        <f t="shared" si="267"/>
        <v>0</v>
      </c>
      <c r="V119" s="257">
        <f t="shared" si="267"/>
        <v>0</v>
      </c>
      <c r="W119" s="257">
        <f t="shared" si="267"/>
        <v>0</v>
      </c>
      <c r="X119" s="257">
        <f t="shared" si="267"/>
        <v>0</v>
      </c>
      <c r="Y119" s="257">
        <f t="shared" si="267"/>
        <v>0</v>
      </c>
      <c r="Z119" s="257">
        <f t="shared" si="267"/>
        <v>0</v>
      </c>
      <c r="AA119" s="380">
        <f t="shared" si="267"/>
        <v>15</v>
      </c>
      <c r="AB119" s="257">
        <f t="shared" si="267"/>
        <v>5411.4</v>
      </c>
      <c r="AC119" s="257">
        <f t="shared" si="267"/>
        <v>0</v>
      </c>
      <c r="AD119" s="257">
        <f t="shared" si="267"/>
        <v>5411.4</v>
      </c>
      <c r="AE119" s="257">
        <f t="shared" si="267"/>
        <v>5411.4</v>
      </c>
      <c r="AF119" s="257">
        <f t="shared" si="267"/>
        <v>5411.4</v>
      </c>
      <c r="AG119" s="257">
        <f t="shared" si="267"/>
        <v>5411.4</v>
      </c>
      <c r="AH119" s="257">
        <f t="shared" si="267"/>
        <v>5411.4</v>
      </c>
      <c r="AI119" s="257">
        <f t="shared" si="267"/>
        <v>5411.4</v>
      </c>
      <c r="AJ119" s="257">
        <f t="shared" si="267"/>
        <v>5411.4</v>
      </c>
      <c r="AK119" s="257">
        <f t="shared" si="267"/>
        <v>5411.4</v>
      </c>
      <c r="AL119" s="257">
        <f t="shared" si="267"/>
        <v>5411.4</v>
      </c>
      <c r="AM119" s="257">
        <f t="shared" si="267"/>
        <v>5411.4</v>
      </c>
      <c r="AN119" s="257">
        <f t="shared" si="267"/>
        <v>54114.000000000007</v>
      </c>
      <c r="AO119" s="257">
        <f t="shared" si="267"/>
        <v>27056.999999999993</v>
      </c>
    </row>
    <row r="120" spans="1:53" s="253" customFormat="1" x14ac:dyDescent="0.25">
      <c r="A120" s="242" t="str">
        <f t="shared" ref="A120:M120" si="268">A19</f>
        <v>Equipo I6</v>
      </c>
      <c r="B120" s="242">
        <f t="shared" si="268"/>
        <v>0</v>
      </c>
      <c r="C120" s="242">
        <f t="shared" si="268"/>
        <v>0</v>
      </c>
      <c r="D120" s="242">
        <f t="shared" si="268"/>
        <v>0</v>
      </c>
      <c r="E120" s="242">
        <f t="shared" si="268"/>
        <v>1</v>
      </c>
      <c r="F120" s="242">
        <f t="shared" si="268"/>
        <v>0</v>
      </c>
      <c r="G120" s="242">
        <f t="shared" si="268"/>
        <v>0</v>
      </c>
      <c r="H120" s="242">
        <f t="shared" si="268"/>
        <v>0</v>
      </c>
      <c r="I120" s="242">
        <f t="shared" si="268"/>
        <v>0</v>
      </c>
      <c r="J120" s="242">
        <f t="shared" si="268"/>
        <v>0</v>
      </c>
      <c r="K120" s="242">
        <f t="shared" si="268"/>
        <v>0</v>
      </c>
      <c r="L120" s="242">
        <f t="shared" si="268"/>
        <v>0</v>
      </c>
      <c r="M120" s="242">
        <f t="shared" si="268"/>
        <v>1</v>
      </c>
      <c r="N120" s="257">
        <f t="shared" ref="N120:AO120" si="269">N19</f>
        <v>81171</v>
      </c>
      <c r="O120" s="257">
        <f t="shared" si="269"/>
        <v>81171</v>
      </c>
      <c r="P120" s="257">
        <f t="shared" si="269"/>
        <v>0</v>
      </c>
      <c r="Q120" s="257">
        <f t="shared" si="269"/>
        <v>0</v>
      </c>
      <c r="R120" s="257">
        <f t="shared" si="269"/>
        <v>0</v>
      </c>
      <c r="S120" s="257">
        <f t="shared" si="269"/>
        <v>81171</v>
      </c>
      <c r="T120" s="257">
        <f t="shared" si="269"/>
        <v>0</v>
      </c>
      <c r="U120" s="257">
        <f t="shared" si="269"/>
        <v>0</v>
      </c>
      <c r="V120" s="257">
        <f t="shared" si="269"/>
        <v>0</v>
      </c>
      <c r="W120" s="257">
        <f t="shared" si="269"/>
        <v>0</v>
      </c>
      <c r="X120" s="257">
        <f t="shared" si="269"/>
        <v>0</v>
      </c>
      <c r="Y120" s="257">
        <f t="shared" si="269"/>
        <v>0</v>
      </c>
      <c r="Z120" s="257">
        <f t="shared" si="269"/>
        <v>0</v>
      </c>
      <c r="AA120" s="380">
        <f t="shared" si="269"/>
        <v>15</v>
      </c>
      <c r="AB120" s="257">
        <f t="shared" si="269"/>
        <v>5411.4</v>
      </c>
      <c r="AC120" s="257">
        <f t="shared" si="269"/>
        <v>0</v>
      </c>
      <c r="AD120" s="257">
        <f t="shared" si="269"/>
        <v>0</v>
      </c>
      <c r="AE120" s="257">
        <f t="shared" si="269"/>
        <v>0</v>
      </c>
      <c r="AF120" s="257">
        <f t="shared" si="269"/>
        <v>0</v>
      </c>
      <c r="AG120" s="257">
        <f t="shared" si="269"/>
        <v>5411.4</v>
      </c>
      <c r="AH120" s="257">
        <f t="shared" si="269"/>
        <v>5411.4</v>
      </c>
      <c r="AI120" s="257">
        <f t="shared" si="269"/>
        <v>5411.4</v>
      </c>
      <c r="AJ120" s="257">
        <f t="shared" si="269"/>
        <v>5411.4</v>
      </c>
      <c r="AK120" s="257">
        <f t="shared" si="269"/>
        <v>5411.4</v>
      </c>
      <c r="AL120" s="257">
        <f t="shared" si="269"/>
        <v>5411.4</v>
      </c>
      <c r="AM120" s="257">
        <f t="shared" si="269"/>
        <v>5411.4</v>
      </c>
      <c r="AN120" s="257">
        <f t="shared" si="269"/>
        <v>37879.800000000003</v>
      </c>
      <c r="AO120" s="257">
        <f t="shared" si="269"/>
        <v>43291.199999999997</v>
      </c>
    </row>
    <row r="121" spans="1:53" s="253" customFormat="1" x14ac:dyDescent="0.25">
      <c r="A121" s="242" t="str">
        <f t="shared" ref="A121:M121" si="270">A20</f>
        <v>Equipo I7</v>
      </c>
      <c r="B121" s="242">
        <f t="shared" si="270"/>
        <v>2</v>
      </c>
      <c r="C121" s="242">
        <f t="shared" si="270"/>
        <v>0</v>
      </c>
      <c r="D121" s="242">
        <f t="shared" si="270"/>
        <v>0</v>
      </c>
      <c r="E121" s="242">
        <f t="shared" si="270"/>
        <v>0</v>
      </c>
      <c r="F121" s="242">
        <f t="shared" si="270"/>
        <v>0</v>
      </c>
      <c r="G121" s="242">
        <f t="shared" si="270"/>
        <v>0</v>
      </c>
      <c r="H121" s="242">
        <f t="shared" si="270"/>
        <v>0</v>
      </c>
      <c r="I121" s="242">
        <f t="shared" si="270"/>
        <v>0</v>
      </c>
      <c r="J121" s="242">
        <f t="shared" si="270"/>
        <v>0</v>
      </c>
      <c r="K121" s="242">
        <f t="shared" si="270"/>
        <v>0</v>
      </c>
      <c r="L121" s="242">
        <f t="shared" si="270"/>
        <v>0</v>
      </c>
      <c r="M121" s="242">
        <f t="shared" si="270"/>
        <v>2</v>
      </c>
      <c r="N121" s="257">
        <f t="shared" ref="N121:AO121" si="271">N20</f>
        <v>120089</v>
      </c>
      <c r="O121" s="257">
        <f t="shared" si="271"/>
        <v>240178</v>
      </c>
      <c r="P121" s="257">
        <f t="shared" si="271"/>
        <v>240178</v>
      </c>
      <c r="Q121" s="257">
        <f t="shared" si="271"/>
        <v>0</v>
      </c>
      <c r="R121" s="257">
        <f t="shared" si="271"/>
        <v>0</v>
      </c>
      <c r="S121" s="257">
        <f t="shared" si="271"/>
        <v>0</v>
      </c>
      <c r="T121" s="257">
        <f t="shared" si="271"/>
        <v>0</v>
      </c>
      <c r="U121" s="257">
        <f t="shared" si="271"/>
        <v>0</v>
      </c>
      <c r="V121" s="257">
        <f t="shared" si="271"/>
        <v>0</v>
      </c>
      <c r="W121" s="257">
        <f t="shared" si="271"/>
        <v>0</v>
      </c>
      <c r="X121" s="257">
        <f t="shared" si="271"/>
        <v>0</v>
      </c>
      <c r="Y121" s="257">
        <f t="shared" si="271"/>
        <v>0</v>
      </c>
      <c r="Z121" s="257">
        <f t="shared" si="271"/>
        <v>0</v>
      </c>
      <c r="AA121" s="380">
        <f t="shared" si="271"/>
        <v>15</v>
      </c>
      <c r="AB121" s="257">
        <f t="shared" si="271"/>
        <v>16011.866666666667</v>
      </c>
      <c r="AC121" s="257">
        <f t="shared" si="271"/>
        <v>0</v>
      </c>
      <c r="AD121" s="257">
        <f t="shared" si="271"/>
        <v>16011.866666666667</v>
      </c>
      <c r="AE121" s="257">
        <f t="shared" si="271"/>
        <v>16011.866666666667</v>
      </c>
      <c r="AF121" s="257">
        <f t="shared" si="271"/>
        <v>16011.866666666667</v>
      </c>
      <c r="AG121" s="257">
        <f t="shared" si="271"/>
        <v>16011.866666666667</v>
      </c>
      <c r="AH121" s="257">
        <f t="shared" si="271"/>
        <v>16011.866666666667</v>
      </c>
      <c r="AI121" s="257">
        <f t="shared" si="271"/>
        <v>16011.866666666667</v>
      </c>
      <c r="AJ121" s="257">
        <f t="shared" si="271"/>
        <v>16011.866666666667</v>
      </c>
      <c r="AK121" s="257">
        <f t="shared" si="271"/>
        <v>16011.866666666667</v>
      </c>
      <c r="AL121" s="257">
        <f t="shared" si="271"/>
        <v>16011.866666666667</v>
      </c>
      <c r="AM121" s="257">
        <f t="shared" si="271"/>
        <v>16011.866666666667</v>
      </c>
      <c r="AN121" s="257">
        <f t="shared" si="271"/>
        <v>160118.66666666666</v>
      </c>
      <c r="AO121" s="257">
        <f t="shared" si="271"/>
        <v>80059.333333333343</v>
      </c>
      <c r="AQ121" s="379"/>
      <c r="AR121" s="379"/>
      <c r="AS121" s="379"/>
      <c r="AT121" s="379"/>
      <c r="AU121" s="379"/>
      <c r="AV121" s="379"/>
      <c r="AW121" s="379"/>
      <c r="AX121" s="379"/>
      <c r="AY121" s="379"/>
      <c r="AZ121" s="379"/>
      <c r="BA121" s="379"/>
    </row>
    <row r="122" spans="1:53" s="253" customFormat="1" x14ac:dyDescent="0.25">
      <c r="A122" s="242" t="str">
        <f t="shared" ref="A122:M122" si="272">A21</f>
        <v>Equipo I8</v>
      </c>
      <c r="B122" s="242">
        <f t="shared" si="272"/>
        <v>3</v>
      </c>
      <c r="C122" s="242">
        <f t="shared" si="272"/>
        <v>0</v>
      </c>
      <c r="D122" s="242">
        <f t="shared" si="272"/>
        <v>0</v>
      </c>
      <c r="E122" s="242">
        <f t="shared" si="272"/>
        <v>0</v>
      </c>
      <c r="F122" s="242">
        <f t="shared" si="272"/>
        <v>0</v>
      </c>
      <c r="G122" s="242">
        <f t="shared" si="272"/>
        <v>0</v>
      </c>
      <c r="H122" s="242">
        <f t="shared" si="272"/>
        <v>0</v>
      </c>
      <c r="I122" s="242">
        <f t="shared" si="272"/>
        <v>0</v>
      </c>
      <c r="J122" s="242">
        <f t="shared" si="272"/>
        <v>0</v>
      </c>
      <c r="K122" s="242">
        <f t="shared" si="272"/>
        <v>0</v>
      </c>
      <c r="L122" s="242">
        <f t="shared" si="272"/>
        <v>0</v>
      </c>
      <c r="M122" s="242">
        <f t="shared" si="272"/>
        <v>3</v>
      </c>
      <c r="N122" s="257">
        <f t="shared" ref="N122:AO122" si="273">N21</f>
        <v>20436</v>
      </c>
      <c r="O122" s="257">
        <f t="shared" si="273"/>
        <v>61308</v>
      </c>
      <c r="P122" s="257">
        <f t="shared" si="273"/>
        <v>61308</v>
      </c>
      <c r="Q122" s="257">
        <f t="shared" si="273"/>
        <v>0</v>
      </c>
      <c r="R122" s="257">
        <f t="shared" si="273"/>
        <v>0</v>
      </c>
      <c r="S122" s="257">
        <f t="shared" si="273"/>
        <v>0</v>
      </c>
      <c r="T122" s="257">
        <f t="shared" si="273"/>
        <v>0</v>
      </c>
      <c r="U122" s="257">
        <f t="shared" si="273"/>
        <v>0</v>
      </c>
      <c r="V122" s="257">
        <f t="shared" si="273"/>
        <v>0</v>
      </c>
      <c r="W122" s="257">
        <f t="shared" si="273"/>
        <v>0</v>
      </c>
      <c r="X122" s="257">
        <f t="shared" si="273"/>
        <v>0</v>
      </c>
      <c r="Y122" s="257">
        <f t="shared" si="273"/>
        <v>0</v>
      </c>
      <c r="Z122" s="257">
        <f t="shared" si="273"/>
        <v>0</v>
      </c>
      <c r="AA122" s="380">
        <f t="shared" si="273"/>
        <v>15</v>
      </c>
      <c r="AB122" s="257">
        <f t="shared" si="273"/>
        <v>4087.2</v>
      </c>
      <c r="AC122" s="257">
        <f t="shared" si="273"/>
        <v>0</v>
      </c>
      <c r="AD122" s="257">
        <f t="shared" si="273"/>
        <v>4087.2</v>
      </c>
      <c r="AE122" s="257">
        <f t="shared" si="273"/>
        <v>4087.2</v>
      </c>
      <c r="AF122" s="257">
        <f t="shared" si="273"/>
        <v>4087.2</v>
      </c>
      <c r="AG122" s="257">
        <f t="shared" si="273"/>
        <v>4087.2</v>
      </c>
      <c r="AH122" s="257">
        <f t="shared" si="273"/>
        <v>4087.2</v>
      </c>
      <c r="AI122" s="257">
        <f t="shared" si="273"/>
        <v>4087.2</v>
      </c>
      <c r="AJ122" s="257">
        <f t="shared" si="273"/>
        <v>4087.2</v>
      </c>
      <c r="AK122" s="257">
        <f t="shared" si="273"/>
        <v>4087.2</v>
      </c>
      <c r="AL122" s="257">
        <f t="shared" si="273"/>
        <v>4087.2</v>
      </c>
      <c r="AM122" s="257">
        <f t="shared" si="273"/>
        <v>4087.2</v>
      </c>
      <c r="AN122" s="257">
        <f t="shared" si="273"/>
        <v>40872</v>
      </c>
      <c r="AO122" s="257">
        <f t="shared" si="273"/>
        <v>20436</v>
      </c>
      <c r="AQ122" s="257"/>
      <c r="AR122" s="257"/>
      <c r="AS122" s="257"/>
      <c r="AT122" s="257"/>
      <c r="AU122" s="257"/>
      <c r="AV122" s="257"/>
      <c r="AW122" s="257"/>
      <c r="AX122" s="257"/>
      <c r="AY122" s="257"/>
      <c r="AZ122" s="257"/>
      <c r="BA122" s="257"/>
    </row>
    <row r="123" spans="1:53" s="253" customFormat="1" x14ac:dyDescent="0.25">
      <c r="A123" s="242" t="str">
        <f t="shared" ref="A123:M123" si="274">A22</f>
        <v>Equipo I8</v>
      </c>
      <c r="B123" s="242">
        <f t="shared" si="274"/>
        <v>0</v>
      </c>
      <c r="C123" s="242">
        <f t="shared" si="274"/>
        <v>0</v>
      </c>
      <c r="D123" s="242">
        <f t="shared" si="274"/>
        <v>0</v>
      </c>
      <c r="E123" s="242">
        <f t="shared" si="274"/>
        <v>1</v>
      </c>
      <c r="F123" s="242">
        <f t="shared" si="274"/>
        <v>0</v>
      </c>
      <c r="G123" s="242">
        <f t="shared" si="274"/>
        <v>0</v>
      </c>
      <c r="H123" s="242">
        <f t="shared" si="274"/>
        <v>0</v>
      </c>
      <c r="I123" s="242">
        <f t="shared" si="274"/>
        <v>0</v>
      </c>
      <c r="J123" s="242">
        <f t="shared" si="274"/>
        <v>0</v>
      </c>
      <c r="K123" s="242">
        <f t="shared" si="274"/>
        <v>0</v>
      </c>
      <c r="L123" s="242">
        <f t="shared" si="274"/>
        <v>0</v>
      </c>
      <c r="M123" s="242">
        <f t="shared" si="274"/>
        <v>1</v>
      </c>
      <c r="N123" s="257">
        <f t="shared" ref="N123:AO123" si="275">N22</f>
        <v>20436</v>
      </c>
      <c r="O123" s="257">
        <f t="shared" si="275"/>
        <v>20436</v>
      </c>
      <c r="P123" s="257">
        <f t="shared" si="275"/>
        <v>0</v>
      </c>
      <c r="Q123" s="257">
        <f t="shared" si="275"/>
        <v>0</v>
      </c>
      <c r="R123" s="257">
        <f t="shared" si="275"/>
        <v>0</v>
      </c>
      <c r="S123" s="257">
        <f t="shared" si="275"/>
        <v>20436</v>
      </c>
      <c r="T123" s="257">
        <f t="shared" si="275"/>
        <v>0</v>
      </c>
      <c r="U123" s="257">
        <f t="shared" si="275"/>
        <v>0</v>
      </c>
      <c r="V123" s="257">
        <f t="shared" si="275"/>
        <v>0</v>
      </c>
      <c r="W123" s="257">
        <f t="shared" si="275"/>
        <v>0</v>
      </c>
      <c r="X123" s="257">
        <f t="shared" si="275"/>
        <v>0</v>
      </c>
      <c r="Y123" s="257">
        <f t="shared" si="275"/>
        <v>0</v>
      </c>
      <c r="Z123" s="257">
        <f t="shared" si="275"/>
        <v>0</v>
      </c>
      <c r="AA123" s="380">
        <f t="shared" si="275"/>
        <v>15</v>
      </c>
      <c r="AB123" s="257">
        <f t="shared" si="275"/>
        <v>1362.4</v>
      </c>
      <c r="AC123" s="257">
        <f t="shared" si="275"/>
        <v>0</v>
      </c>
      <c r="AD123" s="257">
        <f t="shared" si="275"/>
        <v>0</v>
      </c>
      <c r="AE123" s="257">
        <f t="shared" si="275"/>
        <v>0</v>
      </c>
      <c r="AF123" s="257">
        <f t="shared" si="275"/>
        <v>0</v>
      </c>
      <c r="AG123" s="257">
        <f t="shared" si="275"/>
        <v>1362.4</v>
      </c>
      <c r="AH123" s="257">
        <f t="shared" si="275"/>
        <v>1362.4</v>
      </c>
      <c r="AI123" s="257">
        <f t="shared" si="275"/>
        <v>1362.4</v>
      </c>
      <c r="AJ123" s="257">
        <f t="shared" si="275"/>
        <v>1362.4</v>
      </c>
      <c r="AK123" s="257">
        <f t="shared" si="275"/>
        <v>1362.4</v>
      </c>
      <c r="AL123" s="257">
        <f t="shared" si="275"/>
        <v>1362.4</v>
      </c>
      <c r="AM123" s="257">
        <f t="shared" si="275"/>
        <v>1362.4</v>
      </c>
      <c r="AN123" s="257">
        <f t="shared" si="275"/>
        <v>9536.7999999999993</v>
      </c>
      <c r="AO123" s="257">
        <f t="shared" si="275"/>
        <v>10899.2</v>
      </c>
      <c r="AQ123" s="257"/>
      <c r="AR123" s="257"/>
      <c r="AS123" s="257"/>
      <c r="AT123" s="257"/>
      <c r="AU123" s="257"/>
      <c r="AV123" s="257"/>
      <c r="AW123" s="257"/>
      <c r="AX123" s="257"/>
      <c r="AY123" s="257"/>
      <c r="AZ123" s="257"/>
      <c r="BA123" s="257"/>
    </row>
    <row r="124" spans="1:53" s="253" customFormat="1" x14ac:dyDescent="0.25">
      <c r="A124" s="242" t="str">
        <f t="shared" ref="A124:M124" si="276">A23</f>
        <v>Equipo I9</v>
      </c>
      <c r="B124" s="242">
        <f t="shared" si="276"/>
        <v>5</v>
      </c>
      <c r="C124" s="242">
        <f t="shared" si="276"/>
        <v>0</v>
      </c>
      <c r="D124" s="242">
        <f t="shared" si="276"/>
        <v>0</v>
      </c>
      <c r="E124" s="242">
        <f t="shared" si="276"/>
        <v>0</v>
      </c>
      <c r="F124" s="242">
        <f t="shared" si="276"/>
        <v>0</v>
      </c>
      <c r="G124" s="242">
        <f t="shared" si="276"/>
        <v>0</v>
      </c>
      <c r="H124" s="242">
        <f t="shared" si="276"/>
        <v>0</v>
      </c>
      <c r="I124" s="242">
        <f t="shared" si="276"/>
        <v>0</v>
      </c>
      <c r="J124" s="242">
        <f t="shared" si="276"/>
        <v>0</v>
      </c>
      <c r="K124" s="242">
        <f t="shared" si="276"/>
        <v>0</v>
      </c>
      <c r="L124" s="242">
        <f t="shared" si="276"/>
        <v>0</v>
      </c>
      <c r="M124" s="242">
        <f t="shared" si="276"/>
        <v>5</v>
      </c>
      <c r="N124" s="257">
        <f t="shared" ref="N124:AO124" si="277">N23</f>
        <v>38131</v>
      </c>
      <c r="O124" s="257">
        <f t="shared" si="277"/>
        <v>190655</v>
      </c>
      <c r="P124" s="257">
        <f t="shared" si="277"/>
        <v>190655</v>
      </c>
      <c r="Q124" s="257">
        <f t="shared" si="277"/>
        <v>0</v>
      </c>
      <c r="R124" s="257">
        <f t="shared" si="277"/>
        <v>0</v>
      </c>
      <c r="S124" s="257">
        <f t="shared" si="277"/>
        <v>0</v>
      </c>
      <c r="T124" s="257">
        <f t="shared" si="277"/>
        <v>0</v>
      </c>
      <c r="U124" s="257">
        <f t="shared" si="277"/>
        <v>0</v>
      </c>
      <c r="V124" s="257">
        <f t="shared" si="277"/>
        <v>0</v>
      </c>
      <c r="W124" s="257">
        <f t="shared" si="277"/>
        <v>0</v>
      </c>
      <c r="X124" s="257">
        <f t="shared" si="277"/>
        <v>0</v>
      </c>
      <c r="Y124" s="257">
        <f t="shared" si="277"/>
        <v>0</v>
      </c>
      <c r="Z124" s="257">
        <f t="shared" si="277"/>
        <v>0</v>
      </c>
      <c r="AA124" s="380">
        <f t="shared" si="277"/>
        <v>15</v>
      </c>
      <c r="AB124" s="257">
        <f t="shared" si="277"/>
        <v>12710.333333333334</v>
      </c>
      <c r="AC124" s="257">
        <f t="shared" si="277"/>
        <v>0</v>
      </c>
      <c r="AD124" s="257">
        <f t="shared" si="277"/>
        <v>12710.333333333334</v>
      </c>
      <c r="AE124" s="257">
        <f t="shared" si="277"/>
        <v>12710.333333333334</v>
      </c>
      <c r="AF124" s="257">
        <f t="shared" si="277"/>
        <v>12710.333333333334</v>
      </c>
      <c r="AG124" s="257">
        <f t="shared" si="277"/>
        <v>12710.333333333334</v>
      </c>
      <c r="AH124" s="257">
        <f t="shared" si="277"/>
        <v>12710.333333333334</v>
      </c>
      <c r="AI124" s="257">
        <f t="shared" si="277"/>
        <v>12710.333333333334</v>
      </c>
      <c r="AJ124" s="257">
        <f t="shared" si="277"/>
        <v>12710.333333333334</v>
      </c>
      <c r="AK124" s="257">
        <f t="shared" si="277"/>
        <v>12710.333333333334</v>
      </c>
      <c r="AL124" s="257">
        <f t="shared" si="277"/>
        <v>12710.333333333334</v>
      </c>
      <c r="AM124" s="257">
        <f t="shared" si="277"/>
        <v>12710.333333333334</v>
      </c>
      <c r="AN124" s="257">
        <f t="shared" si="277"/>
        <v>127103.33333333331</v>
      </c>
      <c r="AO124" s="257">
        <f t="shared" si="277"/>
        <v>63551.666666666686</v>
      </c>
    </row>
    <row r="125" spans="1:53" s="253" customFormat="1" x14ac:dyDescent="0.25">
      <c r="A125" s="242" t="str">
        <f t="shared" ref="A125:M125" si="278">A24</f>
        <v>Equipo I9</v>
      </c>
      <c r="B125" s="242">
        <f t="shared" si="278"/>
        <v>0</v>
      </c>
      <c r="C125" s="242">
        <f t="shared" si="278"/>
        <v>0</v>
      </c>
      <c r="D125" s="242">
        <f t="shared" si="278"/>
        <v>0</v>
      </c>
      <c r="E125" s="242">
        <f t="shared" si="278"/>
        <v>2</v>
      </c>
      <c r="F125" s="242">
        <f t="shared" si="278"/>
        <v>0</v>
      </c>
      <c r="G125" s="242">
        <f t="shared" si="278"/>
        <v>0</v>
      </c>
      <c r="H125" s="242">
        <f t="shared" si="278"/>
        <v>0</v>
      </c>
      <c r="I125" s="242">
        <f t="shared" si="278"/>
        <v>0</v>
      </c>
      <c r="J125" s="242">
        <f t="shared" si="278"/>
        <v>0</v>
      </c>
      <c r="K125" s="242">
        <f t="shared" si="278"/>
        <v>0</v>
      </c>
      <c r="L125" s="242">
        <f t="shared" si="278"/>
        <v>0</v>
      </c>
      <c r="M125" s="242">
        <f t="shared" si="278"/>
        <v>2</v>
      </c>
      <c r="N125" s="257">
        <f t="shared" ref="N125:AO125" si="279">N24</f>
        <v>38131</v>
      </c>
      <c r="O125" s="257">
        <f t="shared" si="279"/>
        <v>76262</v>
      </c>
      <c r="P125" s="257">
        <f t="shared" si="279"/>
        <v>0</v>
      </c>
      <c r="Q125" s="257">
        <f t="shared" si="279"/>
        <v>0</v>
      </c>
      <c r="R125" s="257">
        <f t="shared" si="279"/>
        <v>0</v>
      </c>
      <c r="S125" s="257">
        <f t="shared" si="279"/>
        <v>76262</v>
      </c>
      <c r="T125" s="257">
        <f t="shared" si="279"/>
        <v>0</v>
      </c>
      <c r="U125" s="257">
        <f t="shared" si="279"/>
        <v>0</v>
      </c>
      <c r="V125" s="257">
        <f t="shared" si="279"/>
        <v>0</v>
      </c>
      <c r="W125" s="257">
        <f t="shared" si="279"/>
        <v>0</v>
      </c>
      <c r="X125" s="257">
        <f t="shared" si="279"/>
        <v>0</v>
      </c>
      <c r="Y125" s="257">
        <f t="shared" si="279"/>
        <v>0</v>
      </c>
      <c r="Z125" s="257">
        <f t="shared" si="279"/>
        <v>0</v>
      </c>
      <c r="AA125" s="380">
        <f t="shared" si="279"/>
        <v>15</v>
      </c>
      <c r="AB125" s="257">
        <f t="shared" si="279"/>
        <v>5084.1333333333332</v>
      </c>
      <c r="AC125" s="257">
        <f t="shared" si="279"/>
        <v>0</v>
      </c>
      <c r="AD125" s="257">
        <f t="shared" si="279"/>
        <v>0</v>
      </c>
      <c r="AE125" s="257">
        <f t="shared" si="279"/>
        <v>0</v>
      </c>
      <c r="AF125" s="257">
        <f t="shared" si="279"/>
        <v>0</v>
      </c>
      <c r="AG125" s="257">
        <f t="shared" si="279"/>
        <v>5084.1333333333332</v>
      </c>
      <c r="AH125" s="257">
        <f t="shared" si="279"/>
        <v>5084.1333333333332</v>
      </c>
      <c r="AI125" s="257">
        <f t="shared" si="279"/>
        <v>5084.1333333333332</v>
      </c>
      <c r="AJ125" s="257">
        <f t="shared" si="279"/>
        <v>5084.1333333333332</v>
      </c>
      <c r="AK125" s="257">
        <f t="shared" si="279"/>
        <v>5084.1333333333332</v>
      </c>
      <c r="AL125" s="257">
        <f t="shared" si="279"/>
        <v>5084.1333333333332</v>
      </c>
      <c r="AM125" s="257">
        <f t="shared" si="279"/>
        <v>5084.1333333333332</v>
      </c>
      <c r="AN125" s="257">
        <f t="shared" si="279"/>
        <v>35588.933333333327</v>
      </c>
      <c r="AO125" s="257">
        <f t="shared" si="279"/>
        <v>40673.066666666673</v>
      </c>
    </row>
    <row r="126" spans="1:53" s="253" customFormat="1" x14ac:dyDescent="0.25">
      <c r="A126" s="242" t="str">
        <f t="shared" ref="A126:M126" si="280">A25</f>
        <v>Equipo I10</v>
      </c>
      <c r="B126" s="242">
        <f t="shared" si="280"/>
        <v>1</v>
      </c>
      <c r="C126" s="242">
        <f t="shared" si="280"/>
        <v>0</v>
      </c>
      <c r="D126" s="242">
        <f t="shared" si="280"/>
        <v>0</v>
      </c>
      <c r="E126" s="242">
        <f t="shared" si="280"/>
        <v>0</v>
      </c>
      <c r="F126" s="242">
        <f t="shared" si="280"/>
        <v>0</v>
      </c>
      <c r="G126" s="242">
        <f t="shared" si="280"/>
        <v>0</v>
      </c>
      <c r="H126" s="242">
        <f t="shared" si="280"/>
        <v>0</v>
      </c>
      <c r="I126" s="242">
        <f t="shared" si="280"/>
        <v>0</v>
      </c>
      <c r="J126" s="242">
        <f t="shared" si="280"/>
        <v>0</v>
      </c>
      <c r="K126" s="242">
        <f t="shared" si="280"/>
        <v>0</v>
      </c>
      <c r="L126" s="242">
        <f t="shared" si="280"/>
        <v>0</v>
      </c>
      <c r="M126" s="242">
        <f t="shared" si="280"/>
        <v>1</v>
      </c>
      <c r="N126" s="257">
        <f t="shared" ref="N126:AO126" si="281">N25</f>
        <v>48771.199999999997</v>
      </c>
      <c r="O126" s="257">
        <f t="shared" si="281"/>
        <v>48771.199999999997</v>
      </c>
      <c r="P126" s="257">
        <f t="shared" si="281"/>
        <v>48771.199999999997</v>
      </c>
      <c r="Q126" s="257">
        <f t="shared" si="281"/>
        <v>0</v>
      </c>
      <c r="R126" s="257">
        <f t="shared" si="281"/>
        <v>0</v>
      </c>
      <c r="S126" s="257">
        <f t="shared" si="281"/>
        <v>0</v>
      </c>
      <c r="T126" s="257">
        <f t="shared" si="281"/>
        <v>0</v>
      </c>
      <c r="U126" s="257">
        <f t="shared" si="281"/>
        <v>0</v>
      </c>
      <c r="V126" s="257">
        <f t="shared" si="281"/>
        <v>0</v>
      </c>
      <c r="W126" s="257">
        <f t="shared" si="281"/>
        <v>0</v>
      </c>
      <c r="X126" s="257">
        <f t="shared" si="281"/>
        <v>0</v>
      </c>
      <c r="Y126" s="257">
        <f t="shared" si="281"/>
        <v>0</v>
      </c>
      <c r="Z126" s="257">
        <f t="shared" si="281"/>
        <v>0</v>
      </c>
      <c r="AA126" s="380">
        <f t="shared" si="281"/>
        <v>15</v>
      </c>
      <c r="AB126" s="257">
        <f t="shared" si="281"/>
        <v>3251.413333333333</v>
      </c>
      <c r="AC126" s="257">
        <f t="shared" si="281"/>
        <v>0</v>
      </c>
      <c r="AD126" s="257">
        <f t="shared" si="281"/>
        <v>3251.413333333333</v>
      </c>
      <c r="AE126" s="257">
        <f t="shared" si="281"/>
        <v>3251.413333333333</v>
      </c>
      <c r="AF126" s="257">
        <f t="shared" si="281"/>
        <v>3251.413333333333</v>
      </c>
      <c r="AG126" s="257">
        <f t="shared" si="281"/>
        <v>3251.413333333333</v>
      </c>
      <c r="AH126" s="257">
        <f t="shared" si="281"/>
        <v>3251.413333333333</v>
      </c>
      <c r="AI126" s="257">
        <f t="shared" si="281"/>
        <v>3251.413333333333</v>
      </c>
      <c r="AJ126" s="257">
        <f t="shared" si="281"/>
        <v>3251.413333333333</v>
      </c>
      <c r="AK126" s="257">
        <f t="shared" si="281"/>
        <v>3251.413333333333</v>
      </c>
      <c r="AL126" s="257">
        <f t="shared" si="281"/>
        <v>3251.413333333333</v>
      </c>
      <c r="AM126" s="257">
        <f t="shared" si="281"/>
        <v>3251.413333333333</v>
      </c>
      <c r="AN126" s="257">
        <f t="shared" si="281"/>
        <v>32514.133333333335</v>
      </c>
      <c r="AO126" s="257">
        <f t="shared" si="281"/>
        <v>16257.066666666662</v>
      </c>
    </row>
    <row r="127" spans="1:53" s="253" customFormat="1" x14ac:dyDescent="0.25">
      <c r="A127" s="242" t="str">
        <f t="shared" ref="A127:M127" si="282">A26</f>
        <v>Equipo I10</v>
      </c>
      <c r="B127" s="242">
        <f t="shared" si="282"/>
        <v>0</v>
      </c>
      <c r="C127" s="242">
        <f t="shared" si="282"/>
        <v>0</v>
      </c>
      <c r="D127" s="242">
        <f t="shared" si="282"/>
        <v>0</v>
      </c>
      <c r="E127" s="242">
        <f t="shared" si="282"/>
        <v>1</v>
      </c>
      <c r="F127" s="242">
        <f t="shared" si="282"/>
        <v>0</v>
      </c>
      <c r="G127" s="242">
        <f t="shared" si="282"/>
        <v>0</v>
      </c>
      <c r="H127" s="242">
        <f t="shared" si="282"/>
        <v>0</v>
      </c>
      <c r="I127" s="242">
        <f t="shared" si="282"/>
        <v>0</v>
      </c>
      <c r="J127" s="242">
        <f t="shared" si="282"/>
        <v>0</v>
      </c>
      <c r="K127" s="242">
        <f t="shared" si="282"/>
        <v>0</v>
      </c>
      <c r="L127" s="242">
        <f t="shared" si="282"/>
        <v>0</v>
      </c>
      <c r="M127" s="242">
        <f t="shared" si="282"/>
        <v>1</v>
      </c>
      <c r="N127" s="257">
        <f t="shared" ref="N127:AO127" si="283">N26</f>
        <v>48771.199999999997</v>
      </c>
      <c r="O127" s="257">
        <f t="shared" si="283"/>
        <v>48771.199999999997</v>
      </c>
      <c r="P127" s="257">
        <f t="shared" si="283"/>
        <v>0</v>
      </c>
      <c r="Q127" s="257">
        <f t="shared" si="283"/>
        <v>0</v>
      </c>
      <c r="R127" s="257">
        <f t="shared" si="283"/>
        <v>0</v>
      </c>
      <c r="S127" s="257">
        <f t="shared" si="283"/>
        <v>48771.199999999997</v>
      </c>
      <c r="T127" s="257">
        <f t="shared" si="283"/>
        <v>0</v>
      </c>
      <c r="U127" s="257">
        <f t="shared" si="283"/>
        <v>0</v>
      </c>
      <c r="V127" s="257">
        <f t="shared" si="283"/>
        <v>0</v>
      </c>
      <c r="W127" s="257">
        <f t="shared" si="283"/>
        <v>0</v>
      </c>
      <c r="X127" s="257">
        <f t="shared" si="283"/>
        <v>0</v>
      </c>
      <c r="Y127" s="257">
        <f t="shared" si="283"/>
        <v>0</v>
      </c>
      <c r="Z127" s="257">
        <f t="shared" si="283"/>
        <v>0</v>
      </c>
      <c r="AA127" s="380">
        <f t="shared" si="283"/>
        <v>15</v>
      </c>
      <c r="AB127" s="257">
        <f t="shared" si="283"/>
        <v>3251.413333333333</v>
      </c>
      <c r="AC127" s="257">
        <f t="shared" si="283"/>
        <v>0</v>
      </c>
      <c r="AD127" s="257">
        <f t="shared" si="283"/>
        <v>0</v>
      </c>
      <c r="AE127" s="257">
        <f t="shared" si="283"/>
        <v>0</v>
      </c>
      <c r="AF127" s="257">
        <f t="shared" si="283"/>
        <v>0</v>
      </c>
      <c r="AG127" s="257">
        <f t="shared" si="283"/>
        <v>3251.413333333333</v>
      </c>
      <c r="AH127" s="257">
        <f t="shared" si="283"/>
        <v>3251.413333333333</v>
      </c>
      <c r="AI127" s="257">
        <f t="shared" si="283"/>
        <v>3251.413333333333</v>
      </c>
      <c r="AJ127" s="257">
        <f t="shared" si="283"/>
        <v>3251.413333333333</v>
      </c>
      <c r="AK127" s="257">
        <f t="shared" si="283"/>
        <v>3251.413333333333</v>
      </c>
      <c r="AL127" s="257">
        <f t="shared" si="283"/>
        <v>3251.413333333333</v>
      </c>
      <c r="AM127" s="257">
        <f t="shared" si="283"/>
        <v>3251.413333333333</v>
      </c>
      <c r="AN127" s="257">
        <f t="shared" si="283"/>
        <v>22759.893333333333</v>
      </c>
      <c r="AO127" s="257">
        <f t="shared" si="283"/>
        <v>26011.306666666664</v>
      </c>
    </row>
    <row r="128" spans="1:53" s="253" customFormat="1" x14ac:dyDescent="0.25">
      <c r="A128" s="242" t="str">
        <f t="shared" ref="A128:M128" si="284">A27</f>
        <v>Equipo I11</v>
      </c>
      <c r="B128" s="242">
        <f t="shared" si="284"/>
        <v>1</v>
      </c>
      <c r="C128" s="242">
        <f t="shared" si="284"/>
        <v>0</v>
      </c>
      <c r="D128" s="242">
        <f t="shared" si="284"/>
        <v>0</v>
      </c>
      <c r="E128" s="242">
        <f t="shared" si="284"/>
        <v>0</v>
      </c>
      <c r="F128" s="242">
        <f t="shared" si="284"/>
        <v>0</v>
      </c>
      <c r="G128" s="242">
        <f t="shared" si="284"/>
        <v>0</v>
      </c>
      <c r="H128" s="242">
        <f t="shared" si="284"/>
        <v>0</v>
      </c>
      <c r="I128" s="242">
        <f t="shared" si="284"/>
        <v>0</v>
      </c>
      <c r="J128" s="242">
        <f t="shared" si="284"/>
        <v>0</v>
      </c>
      <c r="K128" s="242">
        <f t="shared" si="284"/>
        <v>0</v>
      </c>
      <c r="L128" s="242">
        <f t="shared" si="284"/>
        <v>0</v>
      </c>
      <c r="M128" s="242">
        <f t="shared" si="284"/>
        <v>1</v>
      </c>
      <c r="N128" s="257">
        <f t="shared" ref="N128:AO128" si="285">N27</f>
        <v>49749</v>
      </c>
      <c r="O128" s="257">
        <f t="shared" si="285"/>
        <v>49749</v>
      </c>
      <c r="P128" s="257">
        <f t="shared" si="285"/>
        <v>49749</v>
      </c>
      <c r="Q128" s="257">
        <f t="shared" si="285"/>
        <v>0</v>
      </c>
      <c r="R128" s="257">
        <f t="shared" si="285"/>
        <v>0</v>
      </c>
      <c r="S128" s="257">
        <f t="shared" si="285"/>
        <v>0</v>
      </c>
      <c r="T128" s="257">
        <f t="shared" si="285"/>
        <v>0</v>
      </c>
      <c r="U128" s="257">
        <f t="shared" si="285"/>
        <v>0</v>
      </c>
      <c r="V128" s="257">
        <f t="shared" si="285"/>
        <v>0</v>
      </c>
      <c r="W128" s="257">
        <f t="shared" si="285"/>
        <v>0</v>
      </c>
      <c r="X128" s="257">
        <f t="shared" si="285"/>
        <v>0</v>
      </c>
      <c r="Y128" s="257">
        <f t="shared" si="285"/>
        <v>0</v>
      </c>
      <c r="Z128" s="257">
        <f t="shared" si="285"/>
        <v>0</v>
      </c>
      <c r="AA128" s="380">
        <f t="shared" si="285"/>
        <v>15</v>
      </c>
      <c r="AB128" s="257">
        <f t="shared" si="285"/>
        <v>3316.6</v>
      </c>
      <c r="AC128" s="257">
        <f t="shared" si="285"/>
        <v>0</v>
      </c>
      <c r="AD128" s="257">
        <f t="shared" si="285"/>
        <v>3316.6</v>
      </c>
      <c r="AE128" s="257">
        <f t="shared" si="285"/>
        <v>3316.6</v>
      </c>
      <c r="AF128" s="257">
        <f t="shared" si="285"/>
        <v>3316.6</v>
      </c>
      <c r="AG128" s="257">
        <f t="shared" si="285"/>
        <v>3316.6</v>
      </c>
      <c r="AH128" s="257">
        <f t="shared" si="285"/>
        <v>3316.6</v>
      </c>
      <c r="AI128" s="257">
        <f t="shared" si="285"/>
        <v>3316.6</v>
      </c>
      <c r="AJ128" s="257">
        <f t="shared" si="285"/>
        <v>3316.6</v>
      </c>
      <c r="AK128" s="257">
        <f t="shared" si="285"/>
        <v>3316.6</v>
      </c>
      <c r="AL128" s="257">
        <f t="shared" si="285"/>
        <v>3316.6</v>
      </c>
      <c r="AM128" s="257">
        <f t="shared" si="285"/>
        <v>3316.6</v>
      </c>
      <c r="AN128" s="257">
        <f t="shared" si="285"/>
        <v>33165.999999999993</v>
      </c>
      <c r="AO128" s="257">
        <f t="shared" si="285"/>
        <v>16583.000000000007</v>
      </c>
    </row>
    <row r="129" spans="1:41" s="253" customFormat="1" x14ac:dyDescent="0.25">
      <c r="A129" s="242" t="str">
        <f t="shared" ref="A129:M129" si="286">A28</f>
        <v>Equipo I12</v>
      </c>
      <c r="B129" s="242">
        <f t="shared" si="286"/>
        <v>2</v>
      </c>
      <c r="C129" s="242">
        <f t="shared" si="286"/>
        <v>0</v>
      </c>
      <c r="D129" s="242">
        <f t="shared" si="286"/>
        <v>0</v>
      </c>
      <c r="E129" s="242">
        <f t="shared" si="286"/>
        <v>0</v>
      </c>
      <c r="F129" s="242">
        <f t="shared" si="286"/>
        <v>0</v>
      </c>
      <c r="G129" s="242">
        <f t="shared" si="286"/>
        <v>0</v>
      </c>
      <c r="H129" s="242">
        <f t="shared" si="286"/>
        <v>0</v>
      </c>
      <c r="I129" s="242">
        <f t="shared" si="286"/>
        <v>0</v>
      </c>
      <c r="J129" s="242">
        <f t="shared" si="286"/>
        <v>0</v>
      </c>
      <c r="K129" s="242">
        <f t="shared" si="286"/>
        <v>0</v>
      </c>
      <c r="L129" s="242">
        <f t="shared" si="286"/>
        <v>0</v>
      </c>
      <c r="M129" s="242">
        <f t="shared" si="286"/>
        <v>2</v>
      </c>
      <c r="N129" s="257">
        <f t="shared" ref="N129:AO129" si="287">N28</f>
        <v>40796</v>
      </c>
      <c r="O129" s="257">
        <f t="shared" si="287"/>
        <v>81592</v>
      </c>
      <c r="P129" s="257">
        <f t="shared" si="287"/>
        <v>81592</v>
      </c>
      <c r="Q129" s="257">
        <f t="shared" si="287"/>
        <v>0</v>
      </c>
      <c r="R129" s="257">
        <f t="shared" si="287"/>
        <v>0</v>
      </c>
      <c r="S129" s="257">
        <f t="shared" si="287"/>
        <v>0</v>
      </c>
      <c r="T129" s="257">
        <f t="shared" si="287"/>
        <v>0</v>
      </c>
      <c r="U129" s="257">
        <f t="shared" si="287"/>
        <v>0</v>
      </c>
      <c r="V129" s="257">
        <f t="shared" si="287"/>
        <v>0</v>
      </c>
      <c r="W129" s="257">
        <f t="shared" si="287"/>
        <v>0</v>
      </c>
      <c r="X129" s="257">
        <f t="shared" si="287"/>
        <v>0</v>
      </c>
      <c r="Y129" s="257">
        <f t="shared" si="287"/>
        <v>0</v>
      </c>
      <c r="Z129" s="257">
        <f t="shared" si="287"/>
        <v>0</v>
      </c>
      <c r="AA129" s="380">
        <f t="shared" si="287"/>
        <v>15</v>
      </c>
      <c r="AB129" s="257">
        <f t="shared" si="287"/>
        <v>5439.4666666666662</v>
      </c>
      <c r="AC129" s="257">
        <f t="shared" si="287"/>
        <v>0</v>
      </c>
      <c r="AD129" s="257">
        <f t="shared" si="287"/>
        <v>5439.4666666666662</v>
      </c>
      <c r="AE129" s="257">
        <f t="shared" si="287"/>
        <v>5439.4666666666662</v>
      </c>
      <c r="AF129" s="257">
        <f t="shared" si="287"/>
        <v>5439.4666666666662</v>
      </c>
      <c r="AG129" s="257">
        <f t="shared" si="287"/>
        <v>5439.4666666666662</v>
      </c>
      <c r="AH129" s="257">
        <f t="shared" si="287"/>
        <v>5439.4666666666662</v>
      </c>
      <c r="AI129" s="257">
        <f t="shared" si="287"/>
        <v>5439.4666666666662</v>
      </c>
      <c r="AJ129" s="257">
        <f t="shared" si="287"/>
        <v>5439.4666666666662</v>
      </c>
      <c r="AK129" s="257">
        <f t="shared" si="287"/>
        <v>5439.4666666666662</v>
      </c>
      <c r="AL129" s="257">
        <f t="shared" si="287"/>
        <v>5439.4666666666662</v>
      </c>
      <c r="AM129" s="257">
        <f t="shared" si="287"/>
        <v>5439.4666666666662</v>
      </c>
      <c r="AN129" s="257">
        <f t="shared" si="287"/>
        <v>54394.666666666664</v>
      </c>
      <c r="AO129" s="257">
        <f t="shared" si="287"/>
        <v>27197.333333333336</v>
      </c>
    </row>
    <row r="130" spans="1:41" s="253" customFormat="1" x14ac:dyDescent="0.25">
      <c r="A130" s="242" t="str">
        <f t="shared" ref="A130:M130" si="288">A29</f>
        <v>Equipo I12</v>
      </c>
      <c r="B130" s="242">
        <f t="shared" si="288"/>
        <v>0</v>
      </c>
      <c r="C130" s="242">
        <f t="shared" si="288"/>
        <v>0</v>
      </c>
      <c r="D130" s="242">
        <f t="shared" si="288"/>
        <v>0</v>
      </c>
      <c r="E130" s="242">
        <f t="shared" si="288"/>
        <v>1</v>
      </c>
      <c r="F130" s="242">
        <f t="shared" si="288"/>
        <v>0</v>
      </c>
      <c r="G130" s="242">
        <f t="shared" si="288"/>
        <v>0</v>
      </c>
      <c r="H130" s="242">
        <f t="shared" si="288"/>
        <v>0</v>
      </c>
      <c r="I130" s="242">
        <f t="shared" si="288"/>
        <v>0</v>
      </c>
      <c r="J130" s="242">
        <f t="shared" si="288"/>
        <v>0</v>
      </c>
      <c r="K130" s="242">
        <f t="shared" si="288"/>
        <v>0</v>
      </c>
      <c r="L130" s="242">
        <f t="shared" si="288"/>
        <v>0</v>
      </c>
      <c r="M130" s="242">
        <f t="shared" si="288"/>
        <v>1</v>
      </c>
      <c r="N130" s="257">
        <f t="shared" ref="N130:AO130" si="289">N29</f>
        <v>40796</v>
      </c>
      <c r="O130" s="257">
        <f t="shared" si="289"/>
        <v>40796</v>
      </c>
      <c r="P130" s="257">
        <f t="shared" si="289"/>
        <v>0</v>
      </c>
      <c r="Q130" s="257">
        <f t="shared" si="289"/>
        <v>0</v>
      </c>
      <c r="R130" s="257">
        <f t="shared" si="289"/>
        <v>0</v>
      </c>
      <c r="S130" s="257">
        <f t="shared" si="289"/>
        <v>40796</v>
      </c>
      <c r="T130" s="257">
        <f t="shared" si="289"/>
        <v>0</v>
      </c>
      <c r="U130" s="257">
        <f t="shared" si="289"/>
        <v>0</v>
      </c>
      <c r="V130" s="257">
        <f t="shared" si="289"/>
        <v>0</v>
      </c>
      <c r="W130" s="257">
        <f t="shared" si="289"/>
        <v>0</v>
      </c>
      <c r="X130" s="257">
        <f t="shared" si="289"/>
        <v>0</v>
      </c>
      <c r="Y130" s="257">
        <f t="shared" si="289"/>
        <v>0</v>
      </c>
      <c r="Z130" s="257">
        <f t="shared" si="289"/>
        <v>0</v>
      </c>
      <c r="AA130" s="380">
        <f t="shared" si="289"/>
        <v>15</v>
      </c>
      <c r="AB130" s="257">
        <f t="shared" si="289"/>
        <v>2719.7333333333331</v>
      </c>
      <c r="AC130" s="257">
        <f t="shared" si="289"/>
        <v>0</v>
      </c>
      <c r="AD130" s="257">
        <f t="shared" si="289"/>
        <v>0</v>
      </c>
      <c r="AE130" s="257">
        <f t="shared" si="289"/>
        <v>0</v>
      </c>
      <c r="AF130" s="257">
        <f t="shared" si="289"/>
        <v>0</v>
      </c>
      <c r="AG130" s="257">
        <f t="shared" si="289"/>
        <v>2719.7333333333331</v>
      </c>
      <c r="AH130" s="257">
        <f t="shared" si="289"/>
        <v>2719.7333333333331</v>
      </c>
      <c r="AI130" s="257">
        <f t="shared" si="289"/>
        <v>2719.7333333333331</v>
      </c>
      <c r="AJ130" s="257">
        <f t="shared" si="289"/>
        <v>2719.7333333333331</v>
      </c>
      <c r="AK130" s="257">
        <f t="shared" si="289"/>
        <v>2719.7333333333331</v>
      </c>
      <c r="AL130" s="257">
        <f t="shared" si="289"/>
        <v>2719.7333333333331</v>
      </c>
      <c r="AM130" s="257">
        <f t="shared" si="289"/>
        <v>2719.7333333333331</v>
      </c>
      <c r="AN130" s="257">
        <f t="shared" si="289"/>
        <v>19038.133333333331</v>
      </c>
      <c r="AO130" s="257">
        <f t="shared" si="289"/>
        <v>21757.866666666669</v>
      </c>
    </row>
    <row r="131" spans="1:41" s="253" customFormat="1" x14ac:dyDescent="0.25">
      <c r="A131" s="242" t="str">
        <f t="shared" ref="A131:M131" si="290">A30</f>
        <v>Equipo I13</v>
      </c>
      <c r="B131" s="242">
        <f t="shared" si="290"/>
        <v>2</v>
      </c>
      <c r="C131" s="242">
        <f t="shared" si="290"/>
        <v>0</v>
      </c>
      <c r="D131" s="242">
        <f t="shared" si="290"/>
        <v>0</v>
      </c>
      <c r="E131" s="242">
        <f t="shared" si="290"/>
        <v>0</v>
      </c>
      <c r="F131" s="242">
        <f t="shared" si="290"/>
        <v>0</v>
      </c>
      <c r="G131" s="242">
        <f t="shared" si="290"/>
        <v>0</v>
      </c>
      <c r="H131" s="242">
        <f t="shared" si="290"/>
        <v>0</v>
      </c>
      <c r="I131" s="242">
        <f t="shared" si="290"/>
        <v>0</v>
      </c>
      <c r="J131" s="242">
        <f t="shared" si="290"/>
        <v>0</v>
      </c>
      <c r="K131" s="242">
        <f t="shared" si="290"/>
        <v>0</v>
      </c>
      <c r="L131" s="242">
        <f t="shared" si="290"/>
        <v>0</v>
      </c>
      <c r="M131" s="242">
        <f t="shared" si="290"/>
        <v>2</v>
      </c>
      <c r="N131" s="257">
        <f t="shared" ref="N131:AO131" si="291">N30</f>
        <v>38361.200000000004</v>
      </c>
      <c r="O131" s="257">
        <f t="shared" si="291"/>
        <v>76722.400000000009</v>
      </c>
      <c r="P131" s="257">
        <f t="shared" si="291"/>
        <v>76722.400000000009</v>
      </c>
      <c r="Q131" s="257">
        <f t="shared" si="291"/>
        <v>0</v>
      </c>
      <c r="R131" s="257">
        <f t="shared" si="291"/>
        <v>0</v>
      </c>
      <c r="S131" s="257">
        <f t="shared" si="291"/>
        <v>0</v>
      </c>
      <c r="T131" s="257">
        <f t="shared" si="291"/>
        <v>0</v>
      </c>
      <c r="U131" s="257">
        <f t="shared" si="291"/>
        <v>0</v>
      </c>
      <c r="V131" s="257">
        <f t="shared" si="291"/>
        <v>0</v>
      </c>
      <c r="W131" s="257">
        <f t="shared" si="291"/>
        <v>0</v>
      </c>
      <c r="X131" s="257">
        <f t="shared" si="291"/>
        <v>0</v>
      </c>
      <c r="Y131" s="257">
        <f t="shared" si="291"/>
        <v>0</v>
      </c>
      <c r="Z131" s="257">
        <f t="shared" si="291"/>
        <v>0</v>
      </c>
      <c r="AA131" s="380">
        <f t="shared" si="291"/>
        <v>15</v>
      </c>
      <c r="AB131" s="257">
        <f t="shared" si="291"/>
        <v>5114.8266666666668</v>
      </c>
      <c r="AC131" s="257">
        <f t="shared" si="291"/>
        <v>0</v>
      </c>
      <c r="AD131" s="257">
        <f t="shared" si="291"/>
        <v>5114.8266666666668</v>
      </c>
      <c r="AE131" s="257">
        <f t="shared" si="291"/>
        <v>5114.8266666666668</v>
      </c>
      <c r="AF131" s="257">
        <f t="shared" si="291"/>
        <v>5114.8266666666668</v>
      </c>
      <c r="AG131" s="257">
        <f t="shared" si="291"/>
        <v>5114.8266666666668</v>
      </c>
      <c r="AH131" s="257">
        <f t="shared" si="291"/>
        <v>5114.8266666666668</v>
      </c>
      <c r="AI131" s="257">
        <f t="shared" si="291"/>
        <v>5114.8266666666668</v>
      </c>
      <c r="AJ131" s="257">
        <f t="shared" si="291"/>
        <v>5114.8266666666668</v>
      </c>
      <c r="AK131" s="257">
        <f t="shared" si="291"/>
        <v>5114.8266666666668</v>
      </c>
      <c r="AL131" s="257">
        <f t="shared" si="291"/>
        <v>5114.8266666666668</v>
      </c>
      <c r="AM131" s="257">
        <f t="shared" si="291"/>
        <v>5114.8266666666668</v>
      </c>
      <c r="AN131" s="257">
        <f t="shared" si="291"/>
        <v>51148.26666666667</v>
      </c>
      <c r="AO131" s="257">
        <f t="shared" si="291"/>
        <v>25574.133333333339</v>
      </c>
    </row>
    <row r="132" spans="1:41" s="253" customFormat="1" x14ac:dyDescent="0.25">
      <c r="A132" s="242" t="str">
        <f t="shared" ref="A132:M132" si="292">A31</f>
        <v>Equipo I13</v>
      </c>
      <c r="B132" s="242">
        <f t="shared" si="292"/>
        <v>0</v>
      </c>
      <c r="C132" s="242">
        <f t="shared" si="292"/>
        <v>0</v>
      </c>
      <c r="D132" s="242">
        <f t="shared" si="292"/>
        <v>0</v>
      </c>
      <c r="E132" s="242">
        <f t="shared" si="292"/>
        <v>1</v>
      </c>
      <c r="F132" s="242">
        <f t="shared" si="292"/>
        <v>0</v>
      </c>
      <c r="G132" s="242">
        <f t="shared" si="292"/>
        <v>0</v>
      </c>
      <c r="H132" s="242">
        <f t="shared" si="292"/>
        <v>0</v>
      </c>
      <c r="I132" s="242">
        <f t="shared" si="292"/>
        <v>0</v>
      </c>
      <c r="J132" s="242">
        <f t="shared" si="292"/>
        <v>0</v>
      </c>
      <c r="K132" s="242">
        <f t="shared" si="292"/>
        <v>0</v>
      </c>
      <c r="L132" s="242">
        <f t="shared" si="292"/>
        <v>0</v>
      </c>
      <c r="M132" s="242">
        <f t="shared" si="292"/>
        <v>1</v>
      </c>
      <c r="N132" s="257">
        <f t="shared" ref="N132:AO132" si="293">N31</f>
        <v>38361.200000000004</v>
      </c>
      <c r="O132" s="257">
        <f t="shared" si="293"/>
        <v>38361.200000000004</v>
      </c>
      <c r="P132" s="257">
        <f t="shared" si="293"/>
        <v>0</v>
      </c>
      <c r="Q132" s="257">
        <f t="shared" si="293"/>
        <v>0</v>
      </c>
      <c r="R132" s="257">
        <f t="shared" si="293"/>
        <v>0</v>
      </c>
      <c r="S132" s="257">
        <f t="shared" si="293"/>
        <v>38361.200000000004</v>
      </c>
      <c r="T132" s="257">
        <f t="shared" si="293"/>
        <v>0</v>
      </c>
      <c r="U132" s="257">
        <f t="shared" si="293"/>
        <v>0</v>
      </c>
      <c r="V132" s="257">
        <f t="shared" si="293"/>
        <v>0</v>
      </c>
      <c r="W132" s="257">
        <f t="shared" si="293"/>
        <v>0</v>
      </c>
      <c r="X132" s="257">
        <f t="shared" si="293"/>
        <v>0</v>
      </c>
      <c r="Y132" s="257">
        <f t="shared" si="293"/>
        <v>0</v>
      </c>
      <c r="Z132" s="257">
        <f t="shared" si="293"/>
        <v>0</v>
      </c>
      <c r="AA132" s="380">
        <f t="shared" si="293"/>
        <v>15</v>
      </c>
      <c r="AB132" s="257">
        <f t="shared" si="293"/>
        <v>2557.4133333333334</v>
      </c>
      <c r="AC132" s="257">
        <f t="shared" si="293"/>
        <v>0</v>
      </c>
      <c r="AD132" s="257">
        <f t="shared" si="293"/>
        <v>0</v>
      </c>
      <c r="AE132" s="257">
        <f t="shared" si="293"/>
        <v>0</v>
      </c>
      <c r="AF132" s="257">
        <f t="shared" si="293"/>
        <v>0</v>
      </c>
      <c r="AG132" s="257">
        <f t="shared" si="293"/>
        <v>2557.4133333333334</v>
      </c>
      <c r="AH132" s="257">
        <f t="shared" si="293"/>
        <v>2557.4133333333334</v>
      </c>
      <c r="AI132" s="257">
        <f t="shared" si="293"/>
        <v>2557.4133333333334</v>
      </c>
      <c r="AJ132" s="257">
        <f t="shared" si="293"/>
        <v>2557.4133333333334</v>
      </c>
      <c r="AK132" s="257">
        <f t="shared" si="293"/>
        <v>2557.4133333333334</v>
      </c>
      <c r="AL132" s="257">
        <f t="shared" si="293"/>
        <v>2557.4133333333334</v>
      </c>
      <c r="AM132" s="257">
        <f t="shared" si="293"/>
        <v>2557.4133333333334</v>
      </c>
      <c r="AN132" s="257">
        <f t="shared" si="293"/>
        <v>17901.893333333333</v>
      </c>
      <c r="AO132" s="257">
        <f t="shared" si="293"/>
        <v>20459.306666666671</v>
      </c>
    </row>
    <row r="133" spans="1:41" s="253" customFormat="1" x14ac:dyDescent="0.25">
      <c r="A133" s="242" t="str">
        <f t="shared" ref="A133:M133" si="294">A32</f>
        <v>Equipo I14</v>
      </c>
      <c r="B133" s="242">
        <f t="shared" si="294"/>
        <v>1</v>
      </c>
      <c r="C133" s="242">
        <f t="shared" si="294"/>
        <v>0</v>
      </c>
      <c r="D133" s="242">
        <f t="shared" si="294"/>
        <v>0</v>
      </c>
      <c r="E133" s="242">
        <f t="shared" si="294"/>
        <v>0</v>
      </c>
      <c r="F133" s="242">
        <f t="shared" si="294"/>
        <v>0</v>
      </c>
      <c r="G133" s="242">
        <f t="shared" si="294"/>
        <v>0</v>
      </c>
      <c r="H133" s="242">
        <f t="shared" si="294"/>
        <v>0</v>
      </c>
      <c r="I133" s="242">
        <f t="shared" si="294"/>
        <v>0</v>
      </c>
      <c r="J133" s="242">
        <f t="shared" si="294"/>
        <v>0</v>
      </c>
      <c r="K133" s="242">
        <f t="shared" si="294"/>
        <v>0</v>
      </c>
      <c r="L133" s="242">
        <f t="shared" si="294"/>
        <v>0</v>
      </c>
      <c r="M133" s="242">
        <f t="shared" si="294"/>
        <v>1</v>
      </c>
      <c r="N133" s="257">
        <f t="shared" ref="N133:AO133" si="295">N32</f>
        <v>10735.199999999999</v>
      </c>
      <c r="O133" s="257">
        <f t="shared" si="295"/>
        <v>10735.199999999999</v>
      </c>
      <c r="P133" s="257">
        <f t="shared" si="295"/>
        <v>10735.199999999999</v>
      </c>
      <c r="Q133" s="257">
        <f t="shared" si="295"/>
        <v>0</v>
      </c>
      <c r="R133" s="257">
        <f t="shared" si="295"/>
        <v>0</v>
      </c>
      <c r="S133" s="257">
        <f t="shared" si="295"/>
        <v>0</v>
      </c>
      <c r="T133" s="257">
        <f t="shared" si="295"/>
        <v>0</v>
      </c>
      <c r="U133" s="257">
        <f t="shared" si="295"/>
        <v>0</v>
      </c>
      <c r="V133" s="257">
        <f t="shared" si="295"/>
        <v>0</v>
      </c>
      <c r="W133" s="257">
        <f t="shared" si="295"/>
        <v>0</v>
      </c>
      <c r="X133" s="257">
        <f t="shared" si="295"/>
        <v>0</v>
      </c>
      <c r="Y133" s="257">
        <f t="shared" si="295"/>
        <v>0</v>
      </c>
      <c r="Z133" s="257">
        <f t="shared" si="295"/>
        <v>0</v>
      </c>
      <c r="AA133" s="380">
        <f t="shared" si="295"/>
        <v>15</v>
      </c>
      <c r="AB133" s="257">
        <f t="shared" si="295"/>
        <v>715.68</v>
      </c>
      <c r="AC133" s="257">
        <f t="shared" si="295"/>
        <v>0</v>
      </c>
      <c r="AD133" s="257">
        <f t="shared" si="295"/>
        <v>715.68</v>
      </c>
      <c r="AE133" s="257">
        <f t="shared" si="295"/>
        <v>715.68</v>
      </c>
      <c r="AF133" s="257">
        <f t="shared" si="295"/>
        <v>715.68</v>
      </c>
      <c r="AG133" s="257">
        <f t="shared" si="295"/>
        <v>715.68</v>
      </c>
      <c r="AH133" s="257">
        <f t="shared" si="295"/>
        <v>715.68</v>
      </c>
      <c r="AI133" s="257">
        <f t="shared" si="295"/>
        <v>715.68</v>
      </c>
      <c r="AJ133" s="257">
        <f t="shared" si="295"/>
        <v>715.68</v>
      </c>
      <c r="AK133" s="257">
        <f t="shared" si="295"/>
        <v>715.68</v>
      </c>
      <c r="AL133" s="257">
        <f t="shared" si="295"/>
        <v>715.68</v>
      </c>
      <c r="AM133" s="257">
        <f t="shared" si="295"/>
        <v>715.68</v>
      </c>
      <c r="AN133" s="257">
        <f t="shared" si="295"/>
        <v>7156.8000000000011</v>
      </c>
      <c r="AO133" s="257">
        <f t="shared" si="295"/>
        <v>3578.3999999999978</v>
      </c>
    </row>
    <row r="134" spans="1:41" s="253" customFormat="1" x14ac:dyDescent="0.25">
      <c r="A134" s="242" t="str">
        <f t="shared" ref="A134:M134" si="296">A33</f>
        <v>Equipo I14</v>
      </c>
      <c r="B134" s="242">
        <f t="shared" si="296"/>
        <v>0</v>
      </c>
      <c r="C134" s="242">
        <f t="shared" si="296"/>
        <v>1</v>
      </c>
      <c r="D134" s="242">
        <f t="shared" si="296"/>
        <v>0</v>
      </c>
      <c r="E134" s="242">
        <f t="shared" si="296"/>
        <v>0</v>
      </c>
      <c r="F134" s="242">
        <f t="shared" si="296"/>
        <v>0</v>
      </c>
      <c r="G134" s="242">
        <f t="shared" si="296"/>
        <v>0</v>
      </c>
      <c r="H134" s="242">
        <f t="shared" si="296"/>
        <v>0</v>
      </c>
      <c r="I134" s="242">
        <f t="shared" si="296"/>
        <v>0</v>
      </c>
      <c r="J134" s="242">
        <f t="shared" si="296"/>
        <v>0</v>
      </c>
      <c r="K134" s="242">
        <f t="shared" si="296"/>
        <v>0</v>
      </c>
      <c r="L134" s="242">
        <f t="shared" si="296"/>
        <v>0</v>
      </c>
      <c r="M134" s="242">
        <f t="shared" si="296"/>
        <v>1</v>
      </c>
      <c r="N134" s="257">
        <f t="shared" ref="N134:AO134" si="297">N33</f>
        <v>10735.199999999999</v>
      </c>
      <c r="O134" s="257">
        <f t="shared" si="297"/>
        <v>10735.199999999999</v>
      </c>
      <c r="P134" s="257">
        <f t="shared" si="297"/>
        <v>0</v>
      </c>
      <c r="Q134" s="257">
        <f t="shared" si="297"/>
        <v>10735.199999999999</v>
      </c>
      <c r="R134" s="257">
        <f t="shared" si="297"/>
        <v>0</v>
      </c>
      <c r="S134" s="257">
        <f t="shared" si="297"/>
        <v>0</v>
      </c>
      <c r="T134" s="257">
        <f t="shared" si="297"/>
        <v>0</v>
      </c>
      <c r="U134" s="257">
        <f t="shared" si="297"/>
        <v>0</v>
      </c>
      <c r="V134" s="257">
        <f t="shared" si="297"/>
        <v>0</v>
      </c>
      <c r="W134" s="257">
        <f t="shared" si="297"/>
        <v>0</v>
      </c>
      <c r="X134" s="257">
        <f t="shared" si="297"/>
        <v>0</v>
      </c>
      <c r="Y134" s="257">
        <f t="shared" si="297"/>
        <v>0</v>
      </c>
      <c r="Z134" s="257">
        <f t="shared" si="297"/>
        <v>0</v>
      </c>
      <c r="AA134" s="380">
        <f t="shared" si="297"/>
        <v>15</v>
      </c>
      <c r="AB134" s="257">
        <f t="shared" si="297"/>
        <v>715.68</v>
      </c>
      <c r="AC134" s="257">
        <f t="shared" si="297"/>
        <v>0</v>
      </c>
      <c r="AD134" s="257">
        <f t="shared" si="297"/>
        <v>0</v>
      </c>
      <c r="AE134" s="257">
        <f t="shared" si="297"/>
        <v>715.68</v>
      </c>
      <c r="AF134" s="257">
        <f t="shared" si="297"/>
        <v>715.68</v>
      </c>
      <c r="AG134" s="257">
        <f t="shared" si="297"/>
        <v>715.68</v>
      </c>
      <c r="AH134" s="257">
        <f t="shared" si="297"/>
        <v>715.68</v>
      </c>
      <c r="AI134" s="257">
        <f t="shared" si="297"/>
        <v>715.68</v>
      </c>
      <c r="AJ134" s="257">
        <f t="shared" si="297"/>
        <v>715.68</v>
      </c>
      <c r="AK134" s="257">
        <f t="shared" si="297"/>
        <v>715.68</v>
      </c>
      <c r="AL134" s="257">
        <f t="shared" si="297"/>
        <v>715.68</v>
      </c>
      <c r="AM134" s="257">
        <f t="shared" si="297"/>
        <v>715.68</v>
      </c>
      <c r="AN134" s="257">
        <f t="shared" si="297"/>
        <v>6441.1200000000008</v>
      </c>
      <c r="AO134" s="257">
        <f t="shared" si="297"/>
        <v>4294.0799999999981</v>
      </c>
    </row>
    <row r="135" spans="1:41" s="253" customFormat="1" x14ac:dyDescent="0.25">
      <c r="A135" s="242" t="str">
        <f t="shared" ref="A135:M135" si="298">A34</f>
        <v>Equipo I14</v>
      </c>
      <c r="B135" s="242">
        <f t="shared" si="298"/>
        <v>0</v>
      </c>
      <c r="C135" s="242">
        <f t="shared" si="298"/>
        <v>0</v>
      </c>
      <c r="D135" s="242">
        <f t="shared" si="298"/>
        <v>0</v>
      </c>
      <c r="E135" s="242">
        <f t="shared" si="298"/>
        <v>0</v>
      </c>
      <c r="F135" s="242">
        <f t="shared" si="298"/>
        <v>0</v>
      </c>
      <c r="G135" s="242">
        <f t="shared" si="298"/>
        <v>0</v>
      </c>
      <c r="H135" s="242">
        <f t="shared" si="298"/>
        <v>1</v>
      </c>
      <c r="I135" s="242">
        <f t="shared" si="298"/>
        <v>0</v>
      </c>
      <c r="J135" s="242">
        <f t="shared" si="298"/>
        <v>0</v>
      </c>
      <c r="K135" s="242">
        <f t="shared" si="298"/>
        <v>0</v>
      </c>
      <c r="L135" s="242">
        <f t="shared" si="298"/>
        <v>0</v>
      </c>
      <c r="M135" s="242">
        <f t="shared" si="298"/>
        <v>1</v>
      </c>
      <c r="N135" s="257">
        <f t="shared" ref="N135:AO135" si="299">N34</f>
        <v>10735.199999999999</v>
      </c>
      <c r="O135" s="257">
        <f t="shared" si="299"/>
        <v>10735.199999999999</v>
      </c>
      <c r="P135" s="257">
        <f t="shared" si="299"/>
        <v>0</v>
      </c>
      <c r="Q135" s="257">
        <f t="shared" si="299"/>
        <v>0</v>
      </c>
      <c r="R135" s="257">
        <f t="shared" si="299"/>
        <v>0</v>
      </c>
      <c r="S135" s="257">
        <f t="shared" si="299"/>
        <v>0</v>
      </c>
      <c r="T135" s="257">
        <f t="shared" si="299"/>
        <v>0</v>
      </c>
      <c r="U135" s="257">
        <f t="shared" si="299"/>
        <v>0</v>
      </c>
      <c r="V135" s="257">
        <f t="shared" si="299"/>
        <v>10735.199999999999</v>
      </c>
      <c r="W135" s="257">
        <f t="shared" si="299"/>
        <v>0</v>
      </c>
      <c r="X135" s="257">
        <f t="shared" si="299"/>
        <v>0</v>
      </c>
      <c r="Y135" s="257">
        <f t="shared" si="299"/>
        <v>0</v>
      </c>
      <c r="Z135" s="257">
        <f t="shared" si="299"/>
        <v>0</v>
      </c>
      <c r="AA135" s="380">
        <f t="shared" si="299"/>
        <v>15</v>
      </c>
      <c r="AB135" s="257">
        <f t="shared" si="299"/>
        <v>715.68</v>
      </c>
      <c r="AC135" s="257">
        <f t="shared" si="299"/>
        <v>0</v>
      </c>
      <c r="AD135" s="257">
        <f t="shared" si="299"/>
        <v>0</v>
      </c>
      <c r="AE135" s="257">
        <f t="shared" si="299"/>
        <v>0</v>
      </c>
      <c r="AF135" s="257">
        <f t="shared" si="299"/>
        <v>0</v>
      </c>
      <c r="AG135" s="257">
        <f t="shared" si="299"/>
        <v>0</v>
      </c>
      <c r="AH135" s="257">
        <f t="shared" si="299"/>
        <v>0</v>
      </c>
      <c r="AI135" s="257">
        <f t="shared" si="299"/>
        <v>0</v>
      </c>
      <c r="AJ135" s="257">
        <f t="shared" si="299"/>
        <v>715.68</v>
      </c>
      <c r="AK135" s="257">
        <f t="shared" si="299"/>
        <v>715.68</v>
      </c>
      <c r="AL135" s="257">
        <f t="shared" si="299"/>
        <v>715.68</v>
      </c>
      <c r="AM135" s="257">
        <f t="shared" si="299"/>
        <v>715.68</v>
      </c>
      <c r="AN135" s="257">
        <f t="shared" si="299"/>
        <v>2862.72</v>
      </c>
      <c r="AO135" s="257">
        <f t="shared" si="299"/>
        <v>7872.48</v>
      </c>
    </row>
    <row r="136" spans="1:41" s="253" customFormat="1" x14ac:dyDescent="0.25">
      <c r="A136" s="242" t="str">
        <f t="shared" ref="A136:M136" si="300">A35</f>
        <v>Equipo I15</v>
      </c>
      <c r="B136" s="242">
        <f t="shared" si="300"/>
        <v>1</v>
      </c>
      <c r="C136" s="242">
        <f t="shared" si="300"/>
        <v>0</v>
      </c>
      <c r="D136" s="242">
        <f t="shared" si="300"/>
        <v>0</v>
      </c>
      <c r="E136" s="242">
        <f t="shared" si="300"/>
        <v>0</v>
      </c>
      <c r="F136" s="242">
        <f t="shared" si="300"/>
        <v>0</v>
      </c>
      <c r="G136" s="242">
        <f t="shared" si="300"/>
        <v>0</v>
      </c>
      <c r="H136" s="242">
        <f t="shared" si="300"/>
        <v>0</v>
      </c>
      <c r="I136" s="242">
        <f t="shared" si="300"/>
        <v>0</v>
      </c>
      <c r="J136" s="242">
        <f t="shared" si="300"/>
        <v>0</v>
      </c>
      <c r="K136" s="242">
        <f t="shared" si="300"/>
        <v>0</v>
      </c>
      <c r="L136" s="242">
        <f t="shared" si="300"/>
        <v>0</v>
      </c>
      <c r="M136" s="242">
        <f t="shared" si="300"/>
        <v>1</v>
      </c>
      <c r="N136" s="257">
        <f t="shared" ref="N136:AO136" si="301">N35</f>
        <v>70128.2</v>
      </c>
      <c r="O136" s="257">
        <f t="shared" si="301"/>
        <v>70128.2</v>
      </c>
      <c r="P136" s="257">
        <f t="shared" si="301"/>
        <v>70128.2</v>
      </c>
      <c r="Q136" s="257">
        <f t="shared" si="301"/>
        <v>0</v>
      </c>
      <c r="R136" s="257">
        <f t="shared" si="301"/>
        <v>0</v>
      </c>
      <c r="S136" s="257">
        <f t="shared" si="301"/>
        <v>0</v>
      </c>
      <c r="T136" s="257">
        <f t="shared" si="301"/>
        <v>0</v>
      </c>
      <c r="U136" s="257">
        <f t="shared" si="301"/>
        <v>0</v>
      </c>
      <c r="V136" s="257">
        <f t="shared" si="301"/>
        <v>0</v>
      </c>
      <c r="W136" s="257">
        <f t="shared" si="301"/>
        <v>0</v>
      </c>
      <c r="X136" s="257">
        <f t="shared" si="301"/>
        <v>0</v>
      </c>
      <c r="Y136" s="257">
        <f t="shared" si="301"/>
        <v>0</v>
      </c>
      <c r="Z136" s="257">
        <f t="shared" si="301"/>
        <v>0</v>
      </c>
      <c r="AA136" s="380">
        <f t="shared" si="301"/>
        <v>15</v>
      </c>
      <c r="AB136" s="257">
        <f t="shared" si="301"/>
        <v>4675.2133333333331</v>
      </c>
      <c r="AC136" s="257">
        <f t="shared" si="301"/>
        <v>0</v>
      </c>
      <c r="AD136" s="257">
        <f t="shared" si="301"/>
        <v>4675.2133333333331</v>
      </c>
      <c r="AE136" s="257">
        <f t="shared" si="301"/>
        <v>4675.2133333333331</v>
      </c>
      <c r="AF136" s="257">
        <f t="shared" si="301"/>
        <v>4675.2133333333331</v>
      </c>
      <c r="AG136" s="257">
        <f t="shared" si="301"/>
        <v>4675.2133333333331</v>
      </c>
      <c r="AH136" s="257">
        <f t="shared" si="301"/>
        <v>4675.2133333333331</v>
      </c>
      <c r="AI136" s="257">
        <f t="shared" si="301"/>
        <v>4675.2133333333331</v>
      </c>
      <c r="AJ136" s="257">
        <f t="shared" si="301"/>
        <v>4675.2133333333331</v>
      </c>
      <c r="AK136" s="257">
        <f t="shared" si="301"/>
        <v>4675.2133333333331</v>
      </c>
      <c r="AL136" s="257">
        <f t="shared" si="301"/>
        <v>4675.2133333333331</v>
      </c>
      <c r="AM136" s="257">
        <f t="shared" si="301"/>
        <v>4675.2133333333331</v>
      </c>
      <c r="AN136" s="257">
        <f t="shared" si="301"/>
        <v>46752.133333333331</v>
      </c>
      <c r="AO136" s="257">
        <f t="shared" si="301"/>
        <v>23376.066666666666</v>
      </c>
    </row>
    <row r="137" spans="1:41" s="253" customFormat="1" x14ac:dyDescent="0.25">
      <c r="A137" s="242" t="str">
        <f t="shared" ref="A137:M137" si="302">A36</f>
        <v>Equipo I16</v>
      </c>
      <c r="B137" s="242">
        <f t="shared" si="302"/>
        <v>1</v>
      </c>
      <c r="C137" s="242">
        <f t="shared" si="302"/>
        <v>0</v>
      </c>
      <c r="D137" s="242">
        <f t="shared" si="302"/>
        <v>0</v>
      </c>
      <c r="E137" s="242">
        <f t="shared" si="302"/>
        <v>0</v>
      </c>
      <c r="F137" s="242">
        <f t="shared" si="302"/>
        <v>0</v>
      </c>
      <c r="G137" s="242">
        <f t="shared" si="302"/>
        <v>0</v>
      </c>
      <c r="H137" s="242">
        <f t="shared" si="302"/>
        <v>0</v>
      </c>
      <c r="I137" s="242">
        <f t="shared" si="302"/>
        <v>0</v>
      </c>
      <c r="J137" s="242">
        <f t="shared" si="302"/>
        <v>0</v>
      </c>
      <c r="K137" s="242">
        <f t="shared" si="302"/>
        <v>0</v>
      </c>
      <c r="L137" s="242">
        <f t="shared" si="302"/>
        <v>0</v>
      </c>
      <c r="M137" s="242">
        <f t="shared" si="302"/>
        <v>1</v>
      </c>
      <c r="N137" s="257">
        <f t="shared" ref="N137:AO137" si="303">N36</f>
        <v>60945</v>
      </c>
      <c r="O137" s="257">
        <f t="shared" si="303"/>
        <v>60945</v>
      </c>
      <c r="P137" s="257">
        <f t="shared" si="303"/>
        <v>60945</v>
      </c>
      <c r="Q137" s="257">
        <f t="shared" si="303"/>
        <v>0</v>
      </c>
      <c r="R137" s="257">
        <f t="shared" si="303"/>
        <v>0</v>
      </c>
      <c r="S137" s="257">
        <f t="shared" si="303"/>
        <v>0</v>
      </c>
      <c r="T137" s="257">
        <f t="shared" si="303"/>
        <v>0</v>
      </c>
      <c r="U137" s="257">
        <f t="shared" si="303"/>
        <v>0</v>
      </c>
      <c r="V137" s="257">
        <f t="shared" si="303"/>
        <v>0</v>
      </c>
      <c r="W137" s="257">
        <f t="shared" si="303"/>
        <v>0</v>
      </c>
      <c r="X137" s="257">
        <f t="shared" si="303"/>
        <v>0</v>
      </c>
      <c r="Y137" s="257">
        <f t="shared" si="303"/>
        <v>0</v>
      </c>
      <c r="Z137" s="257">
        <f t="shared" si="303"/>
        <v>0</v>
      </c>
      <c r="AA137" s="380">
        <f t="shared" si="303"/>
        <v>15</v>
      </c>
      <c r="AB137" s="257">
        <f t="shared" si="303"/>
        <v>4063</v>
      </c>
      <c r="AC137" s="257">
        <f t="shared" si="303"/>
        <v>0</v>
      </c>
      <c r="AD137" s="257">
        <f t="shared" si="303"/>
        <v>4063</v>
      </c>
      <c r="AE137" s="257">
        <f t="shared" si="303"/>
        <v>4063</v>
      </c>
      <c r="AF137" s="257">
        <f t="shared" si="303"/>
        <v>4063</v>
      </c>
      <c r="AG137" s="257">
        <f t="shared" si="303"/>
        <v>4063</v>
      </c>
      <c r="AH137" s="257">
        <f t="shared" si="303"/>
        <v>4063</v>
      </c>
      <c r="AI137" s="257">
        <f t="shared" si="303"/>
        <v>4063</v>
      </c>
      <c r="AJ137" s="257">
        <f t="shared" si="303"/>
        <v>4063</v>
      </c>
      <c r="AK137" s="257">
        <f t="shared" si="303"/>
        <v>4063</v>
      </c>
      <c r="AL137" s="257">
        <f t="shared" si="303"/>
        <v>4063</v>
      </c>
      <c r="AM137" s="257">
        <f t="shared" si="303"/>
        <v>4063</v>
      </c>
      <c r="AN137" s="257">
        <f t="shared" si="303"/>
        <v>40630</v>
      </c>
      <c r="AO137" s="257">
        <f t="shared" si="303"/>
        <v>20315</v>
      </c>
    </row>
    <row r="138" spans="1:41" s="253" customFormat="1" x14ac:dyDescent="0.25">
      <c r="A138" s="242" t="str">
        <f t="shared" ref="A138:M138" si="304">A37</f>
        <v>Equipo I17</v>
      </c>
      <c r="B138" s="242">
        <f t="shared" si="304"/>
        <v>1</v>
      </c>
      <c r="C138" s="242">
        <f t="shared" si="304"/>
        <v>0</v>
      </c>
      <c r="D138" s="242">
        <f t="shared" si="304"/>
        <v>0</v>
      </c>
      <c r="E138" s="242">
        <f t="shared" si="304"/>
        <v>0</v>
      </c>
      <c r="F138" s="242">
        <f t="shared" si="304"/>
        <v>0</v>
      </c>
      <c r="G138" s="242">
        <f t="shared" si="304"/>
        <v>0</v>
      </c>
      <c r="H138" s="242">
        <f t="shared" si="304"/>
        <v>0</v>
      </c>
      <c r="I138" s="242">
        <f t="shared" si="304"/>
        <v>0</v>
      </c>
      <c r="J138" s="242">
        <f t="shared" si="304"/>
        <v>0</v>
      </c>
      <c r="K138" s="242">
        <f t="shared" si="304"/>
        <v>0</v>
      </c>
      <c r="L138" s="242">
        <f t="shared" si="304"/>
        <v>0</v>
      </c>
      <c r="M138" s="242">
        <f t="shared" si="304"/>
        <v>1</v>
      </c>
      <c r="N138" s="257">
        <f t="shared" ref="N138:AO138" si="305">N37</f>
        <v>16469.825000000001</v>
      </c>
      <c r="O138" s="257">
        <f t="shared" si="305"/>
        <v>16469.825000000001</v>
      </c>
      <c r="P138" s="257">
        <f t="shared" si="305"/>
        <v>16469.825000000001</v>
      </c>
      <c r="Q138" s="257">
        <f t="shared" si="305"/>
        <v>0</v>
      </c>
      <c r="R138" s="257">
        <f t="shared" si="305"/>
        <v>0</v>
      </c>
      <c r="S138" s="257">
        <f t="shared" si="305"/>
        <v>0</v>
      </c>
      <c r="T138" s="257">
        <f t="shared" si="305"/>
        <v>0</v>
      </c>
      <c r="U138" s="257">
        <f t="shared" si="305"/>
        <v>0</v>
      </c>
      <c r="V138" s="257">
        <f t="shared" si="305"/>
        <v>0</v>
      </c>
      <c r="W138" s="257">
        <f t="shared" si="305"/>
        <v>0</v>
      </c>
      <c r="X138" s="257">
        <f t="shared" si="305"/>
        <v>0</v>
      </c>
      <c r="Y138" s="257">
        <f t="shared" si="305"/>
        <v>0</v>
      </c>
      <c r="Z138" s="257">
        <f t="shared" si="305"/>
        <v>0</v>
      </c>
      <c r="AA138" s="380">
        <f t="shared" si="305"/>
        <v>15</v>
      </c>
      <c r="AB138" s="257">
        <f t="shared" si="305"/>
        <v>1097.9883333333335</v>
      </c>
      <c r="AC138" s="257">
        <f t="shared" si="305"/>
        <v>0</v>
      </c>
      <c r="AD138" s="257">
        <f t="shared" si="305"/>
        <v>1097.9883333333335</v>
      </c>
      <c r="AE138" s="257">
        <f t="shared" si="305"/>
        <v>1097.9883333333335</v>
      </c>
      <c r="AF138" s="257">
        <f t="shared" si="305"/>
        <v>1097.9883333333335</v>
      </c>
      <c r="AG138" s="257">
        <f t="shared" si="305"/>
        <v>1097.9883333333335</v>
      </c>
      <c r="AH138" s="257">
        <f t="shared" si="305"/>
        <v>1097.9883333333335</v>
      </c>
      <c r="AI138" s="257">
        <f t="shared" si="305"/>
        <v>1097.9883333333335</v>
      </c>
      <c r="AJ138" s="257">
        <f t="shared" si="305"/>
        <v>1097.9883333333335</v>
      </c>
      <c r="AK138" s="257">
        <f t="shared" si="305"/>
        <v>1097.9883333333335</v>
      </c>
      <c r="AL138" s="257">
        <f t="shared" si="305"/>
        <v>1097.9883333333335</v>
      </c>
      <c r="AM138" s="257">
        <f t="shared" si="305"/>
        <v>1097.9883333333335</v>
      </c>
      <c r="AN138" s="257">
        <f t="shared" si="305"/>
        <v>10979.883333333333</v>
      </c>
      <c r="AO138" s="257">
        <f t="shared" si="305"/>
        <v>5489.9416666666675</v>
      </c>
    </row>
    <row r="139" spans="1:41" s="253" customFormat="1" x14ac:dyDescent="0.25">
      <c r="A139" s="242" t="str">
        <f t="shared" ref="A139:M139" si="306">A38</f>
        <v>Equipo I18</v>
      </c>
      <c r="B139" s="242">
        <f t="shared" si="306"/>
        <v>1</v>
      </c>
      <c r="C139" s="242">
        <f t="shared" si="306"/>
        <v>0</v>
      </c>
      <c r="D139" s="242">
        <f t="shared" si="306"/>
        <v>0</v>
      </c>
      <c r="E139" s="242">
        <f t="shared" si="306"/>
        <v>0</v>
      </c>
      <c r="F139" s="242">
        <f t="shared" si="306"/>
        <v>0</v>
      </c>
      <c r="G139" s="242">
        <f t="shared" si="306"/>
        <v>0</v>
      </c>
      <c r="H139" s="242">
        <f t="shared" si="306"/>
        <v>0</v>
      </c>
      <c r="I139" s="242">
        <f t="shared" si="306"/>
        <v>0</v>
      </c>
      <c r="J139" s="242">
        <f t="shared" si="306"/>
        <v>0</v>
      </c>
      <c r="K139" s="242">
        <f t="shared" si="306"/>
        <v>0</v>
      </c>
      <c r="L139" s="242">
        <f t="shared" si="306"/>
        <v>0</v>
      </c>
      <c r="M139" s="242">
        <f t="shared" si="306"/>
        <v>1</v>
      </c>
      <c r="N139" s="257">
        <f t="shared" ref="N139:AO139" si="307">N38</f>
        <v>236428.43932861101</v>
      </c>
      <c r="O139" s="257">
        <f t="shared" si="307"/>
        <v>236428.43932861101</v>
      </c>
      <c r="P139" s="257">
        <f t="shared" si="307"/>
        <v>236428.43932861101</v>
      </c>
      <c r="Q139" s="257">
        <f t="shared" si="307"/>
        <v>0</v>
      </c>
      <c r="R139" s="257">
        <f t="shared" si="307"/>
        <v>0</v>
      </c>
      <c r="S139" s="257">
        <f t="shared" si="307"/>
        <v>0</v>
      </c>
      <c r="T139" s="257">
        <f t="shared" si="307"/>
        <v>0</v>
      </c>
      <c r="U139" s="257">
        <f t="shared" si="307"/>
        <v>0</v>
      </c>
      <c r="V139" s="257">
        <f t="shared" si="307"/>
        <v>0</v>
      </c>
      <c r="W139" s="257">
        <f t="shared" si="307"/>
        <v>0</v>
      </c>
      <c r="X139" s="257">
        <f t="shared" si="307"/>
        <v>0</v>
      </c>
      <c r="Y139" s="257">
        <f t="shared" si="307"/>
        <v>0</v>
      </c>
      <c r="Z139" s="257">
        <f t="shared" si="307"/>
        <v>0</v>
      </c>
      <c r="AA139" s="380">
        <f t="shared" si="307"/>
        <v>15</v>
      </c>
      <c r="AB139" s="257">
        <f t="shared" si="307"/>
        <v>15761.895955240734</v>
      </c>
      <c r="AC139" s="257">
        <f t="shared" si="307"/>
        <v>0</v>
      </c>
      <c r="AD139" s="257">
        <f t="shared" si="307"/>
        <v>15761.895955240734</v>
      </c>
      <c r="AE139" s="257">
        <f t="shared" si="307"/>
        <v>15761.895955240734</v>
      </c>
      <c r="AF139" s="257">
        <f t="shared" si="307"/>
        <v>15761.895955240734</v>
      </c>
      <c r="AG139" s="257">
        <f t="shared" si="307"/>
        <v>15761.895955240734</v>
      </c>
      <c r="AH139" s="257">
        <f t="shared" si="307"/>
        <v>15761.895955240734</v>
      </c>
      <c r="AI139" s="257">
        <f t="shared" si="307"/>
        <v>15761.895955240734</v>
      </c>
      <c r="AJ139" s="257">
        <f t="shared" si="307"/>
        <v>15761.895955240734</v>
      </c>
      <c r="AK139" s="257">
        <f t="shared" si="307"/>
        <v>15761.895955240734</v>
      </c>
      <c r="AL139" s="257">
        <f t="shared" si="307"/>
        <v>15761.895955240734</v>
      </c>
      <c r="AM139" s="257">
        <f t="shared" si="307"/>
        <v>15761.895955240734</v>
      </c>
      <c r="AN139" s="257">
        <f t="shared" si="307"/>
        <v>157618.95955240735</v>
      </c>
      <c r="AO139" s="257">
        <f t="shared" si="307"/>
        <v>78809.479776203661</v>
      </c>
    </row>
    <row r="140" spans="1:41" s="253" customFormat="1" x14ac:dyDescent="0.25">
      <c r="A140" s="242" t="str">
        <f t="shared" ref="A140:M140" si="308">A39</f>
        <v>Equipo I18</v>
      </c>
      <c r="B140" s="242">
        <f t="shared" si="308"/>
        <v>0</v>
      </c>
      <c r="C140" s="242">
        <f t="shared" si="308"/>
        <v>0</v>
      </c>
      <c r="D140" s="242">
        <f t="shared" si="308"/>
        <v>0</v>
      </c>
      <c r="E140" s="242">
        <f t="shared" si="308"/>
        <v>0</v>
      </c>
      <c r="F140" s="242">
        <f t="shared" si="308"/>
        <v>1</v>
      </c>
      <c r="G140" s="242">
        <f t="shared" si="308"/>
        <v>0</v>
      </c>
      <c r="H140" s="242">
        <f t="shared" si="308"/>
        <v>0</v>
      </c>
      <c r="I140" s="242">
        <f t="shared" si="308"/>
        <v>0</v>
      </c>
      <c r="J140" s="242">
        <f t="shared" si="308"/>
        <v>0</v>
      </c>
      <c r="K140" s="242">
        <f t="shared" si="308"/>
        <v>0</v>
      </c>
      <c r="L140" s="242">
        <f t="shared" si="308"/>
        <v>0</v>
      </c>
      <c r="M140" s="242">
        <f t="shared" si="308"/>
        <v>1</v>
      </c>
      <c r="N140" s="257">
        <f t="shared" ref="N140:AO140" si="309">N39</f>
        <v>236428.43932861101</v>
      </c>
      <c r="O140" s="257">
        <f t="shared" si="309"/>
        <v>236428.43932861101</v>
      </c>
      <c r="P140" s="257">
        <f t="shared" si="309"/>
        <v>0</v>
      </c>
      <c r="Q140" s="257">
        <f t="shared" si="309"/>
        <v>0</v>
      </c>
      <c r="R140" s="257">
        <f t="shared" si="309"/>
        <v>0</v>
      </c>
      <c r="S140" s="257">
        <f t="shared" si="309"/>
        <v>0</v>
      </c>
      <c r="T140" s="257">
        <f t="shared" si="309"/>
        <v>236428.43932861101</v>
      </c>
      <c r="U140" s="257">
        <f t="shared" si="309"/>
        <v>0</v>
      </c>
      <c r="V140" s="257">
        <f t="shared" si="309"/>
        <v>0</v>
      </c>
      <c r="W140" s="257">
        <f t="shared" si="309"/>
        <v>0</v>
      </c>
      <c r="X140" s="257">
        <f t="shared" si="309"/>
        <v>0</v>
      </c>
      <c r="Y140" s="257">
        <f t="shared" si="309"/>
        <v>0</v>
      </c>
      <c r="Z140" s="257">
        <f t="shared" si="309"/>
        <v>0</v>
      </c>
      <c r="AA140" s="380">
        <f t="shared" si="309"/>
        <v>15</v>
      </c>
      <c r="AB140" s="257">
        <f t="shared" si="309"/>
        <v>15761.895955240734</v>
      </c>
      <c r="AC140" s="257">
        <f t="shared" si="309"/>
        <v>0</v>
      </c>
      <c r="AD140" s="257">
        <f t="shared" si="309"/>
        <v>0</v>
      </c>
      <c r="AE140" s="257">
        <f t="shared" si="309"/>
        <v>0</v>
      </c>
      <c r="AF140" s="257">
        <f t="shared" si="309"/>
        <v>0</v>
      </c>
      <c r="AG140" s="257">
        <f t="shared" si="309"/>
        <v>0</v>
      </c>
      <c r="AH140" s="257">
        <f t="shared" si="309"/>
        <v>15761.895955240734</v>
      </c>
      <c r="AI140" s="257">
        <f t="shared" si="309"/>
        <v>15761.895955240734</v>
      </c>
      <c r="AJ140" s="257">
        <f t="shared" si="309"/>
        <v>15761.895955240734</v>
      </c>
      <c r="AK140" s="257">
        <f t="shared" si="309"/>
        <v>15761.895955240734</v>
      </c>
      <c r="AL140" s="257">
        <f t="shared" si="309"/>
        <v>15761.895955240734</v>
      </c>
      <c r="AM140" s="257">
        <f t="shared" si="309"/>
        <v>15761.895955240734</v>
      </c>
      <c r="AN140" s="257">
        <f t="shared" si="309"/>
        <v>94571.375731444408</v>
      </c>
      <c r="AO140" s="257">
        <f t="shared" si="309"/>
        <v>141857.06359716662</v>
      </c>
    </row>
    <row r="141" spans="1:41" s="253" customFormat="1" x14ac:dyDescent="0.25">
      <c r="A141" s="242" t="str">
        <f t="shared" ref="A141:M141" si="310">A40</f>
        <v>Equipo I19</v>
      </c>
      <c r="B141" s="242">
        <f t="shared" si="310"/>
        <v>1</v>
      </c>
      <c r="C141" s="242">
        <f t="shared" si="310"/>
        <v>0</v>
      </c>
      <c r="D141" s="242">
        <f t="shared" si="310"/>
        <v>0</v>
      </c>
      <c r="E141" s="242">
        <f t="shared" si="310"/>
        <v>0</v>
      </c>
      <c r="F141" s="242">
        <f t="shared" si="310"/>
        <v>0</v>
      </c>
      <c r="G141" s="242">
        <f t="shared" si="310"/>
        <v>0</v>
      </c>
      <c r="H141" s="242">
        <f t="shared" si="310"/>
        <v>0</v>
      </c>
      <c r="I141" s="242">
        <f t="shared" si="310"/>
        <v>0</v>
      </c>
      <c r="J141" s="242">
        <f t="shared" si="310"/>
        <v>0</v>
      </c>
      <c r="K141" s="242">
        <f t="shared" si="310"/>
        <v>0</v>
      </c>
      <c r="L141" s="242">
        <f t="shared" si="310"/>
        <v>0</v>
      </c>
      <c r="M141" s="242">
        <f t="shared" si="310"/>
        <v>1</v>
      </c>
      <c r="N141" s="257">
        <f t="shared" ref="N141:AO141" si="311">N40</f>
        <v>60561.8</v>
      </c>
      <c r="O141" s="257">
        <f t="shared" si="311"/>
        <v>60561.8</v>
      </c>
      <c r="P141" s="257">
        <f t="shared" si="311"/>
        <v>60561.8</v>
      </c>
      <c r="Q141" s="257">
        <f t="shared" si="311"/>
        <v>0</v>
      </c>
      <c r="R141" s="257">
        <f t="shared" si="311"/>
        <v>0</v>
      </c>
      <c r="S141" s="257">
        <f t="shared" si="311"/>
        <v>0</v>
      </c>
      <c r="T141" s="257">
        <f t="shared" si="311"/>
        <v>0</v>
      </c>
      <c r="U141" s="257">
        <f t="shared" si="311"/>
        <v>0</v>
      </c>
      <c r="V141" s="257">
        <f t="shared" si="311"/>
        <v>0</v>
      </c>
      <c r="W141" s="257">
        <f t="shared" si="311"/>
        <v>0</v>
      </c>
      <c r="X141" s="257">
        <f t="shared" si="311"/>
        <v>0</v>
      </c>
      <c r="Y141" s="257">
        <f t="shared" si="311"/>
        <v>0</v>
      </c>
      <c r="Z141" s="257">
        <f t="shared" si="311"/>
        <v>0</v>
      </c>
      <c r="AA141" s="380">
        <f t="shared" si="311"/>
        <v>15</v>
      </c>
      <c r="AB141" s="257">
        <f t="shared" si="311"/>
        <v>4037.4533333333334</v>
      </c>
      <c r="AC141" s="257">
        <f t="shared" si="311"/>
        <v>0</v>
      </c>
      <c r="AD141" s="257">
        <f t="shared" si="311"/>
        <v>4037.4533333333334</v>
      </c>
      <c r="AE141" s="257">
        <f t="shared" si="311"/>
        <v>4037.4533333333334</v>
      </c>
      <c r="AF141" s="257">
        <f t="shared" si="311"/>
        <v>4037.4533333333334</v>
      </c>
      <c r="AG141" s="257">
        <f t="shared" si="311"/>
        <v>4037.4533333333334</v>
      </c>
      <c r="AH141" s="257">
        <f t="shared" si="311"/>
        <v>4037.4533333333334</v>
      </c>
      <c r="AI141" s="257">
        <f t="shared" si="311"/>
        <v>4037.4533333333334</v>
      </c>
      <c r="AJ141" s="257">
        <f t="shared" si="311"/>
        <v>4037.4533333333334</v>
      </c>
      <c r="AK141" s="257">
        <f t="shared" si="311"/>
        <v>4037.4533333333334</v>
      </c>
      <c r="AL141" s="257">
        <f t="shared" si="311"/>
        <v>4037.4533333333334</v>
      </c>
      <c r="AM141" s="257">
        <f t="shared" si="311"/>
        <v>4037.4533333333334</v>
      </c>
      <c r="AN141" s="257">
        <f t="shared" si="311"/>
        <v>40374.533333333333</v>
      </c>
      <c r="AO141" s="257">
        <f t="shared" si="311"/>
        <v>20187.26666666667</v>
      </c>
    </row>
    <row r="142" spans="1:41" s="253" customFormat="1" x14ac:dyDescent="0.25">
      <c r="A142" s="242" t="str">
        <f t="shared" ref="A142:M142" si="312">A41</f>
        <v>Equipo I20</v>
      </c>
      <c r="B142" s="242">
        <f t="shared" si="312"/>
        <v>1</v>
      </c>
      <c r="C142" s="242">
        <f t="shared" si="312"/>
        <v>0</v>
      </c>
      <c r="D142" s="242">
        <f t="shared" si="312"/>
        <v>0</v>
      </c>
      <c r="E142" s="242">
        <f t="shared" si="312"/>
        <v>0</v>
      </c>
      <c r="F142" s="242">
        <f t="shared" si="312"/>
        <v>0</v>
      </c>
      <c r="G142" s="242">
        <f t="shared" si="312"/>
        <v>0</v>
      </c>
      <c r="H142" s="242">
        <f t="shared" si="312"/>
        <v>0</v>
      </c>
      <c r="I142" s="242">
        <f t="shared" si="312"/>
        <v>0</v>
      </c>
      <c r="J142" s="242">
        <f t="shared" si="312"/>
        <v>0</v>
      </c>
      <c r="K142" s="242">
        <f t="shared" si="312"/>
        <v>0</v>
      </c>
      <c r="L142" s="242">
        <f t="shared" si="312"/>
        <v>0</v>
      </c>
      <c r="M142" s="242">
        <f t="shared" si="312"/>
        <v>1</v>
      </c>
      <c r="N142" s="257">
        <f t="shared" ref="N142:AO142" si="313">N41</f>
        <v>58663.6</v>
      </c>
      <c r="O142" s="257">
        <f t="shared" si="313"/>
        <v>58663.6</v>
      </c>
      <c r="P142" s="257">
        <f t="shared" si="313"/>
        <v>58663.6</v>
      </c>
      <c r="Q142" s="257">
        <f t="shared" si="313"/>
        <v>0</v>
      </c>
      <c r="R142" s="257">
        <f t="shared" si="313"/>
        <v>0</v>
      </c>
      <c r="S142" s="257">
        <f t="shared" si="313"/>
        <v>0</v>
      </c>
      <c r="T142" s="257">
        <f t="shared" si="313"/>
        <v>0</v>
      </c>
      <c r="U142" s="257">
        <f t="shared" si="313"/>
        <v>0</v>
      </c>
      <c r="V142" s="257">
        <f t="shared" si="313"/>
        <v>0</v>
      </c>
      <c r="W142" s="257">
        <f t="shared" si="313"/>
        <v>0</v>
      </c>
      <c r="X142" s="257">
        <f t="shared" si="313"/>
        <v>0</v>
      </c>
      <c r="Y142" s="257">
        <f t="shared" si="313"/>
        <v>0</v>
      </c>
      <c r="Z142" s="257">
        <f t="shared" si="313"/>
        <v>0</v>
      </c>
      <c r="AA142" s="380">
        <f t="shared" si="313"/>
        <v>15</v>
      </c>
      <c r="AB142" s="257">
        <f t="shared" si="313"/>
        <v>3910.9066666666668</v>
      </c>
      <c r="AC142" s="257">
        <f t="shared" si="313"/>
        <v>0</v>
      </c>
      <c r="AD142" s="257">
        <f t="shared" si="313"/>
        <v>3910.9066666666668</v>
      </c>
      <c r="AE142" s="257">
        <f t="shared" si="313"/>
        <v>3910.9066666666668</v>
      </c>
      <c r="AF142" s="257">
        <f t="shared" si="313"/>
        <v>3910.9066666666668</v>
      </c>
      <c r="AG142" s="257">
        <f t="shared" si="313"/>
        <v>3910.9066666666668</v>
      </c>
      <c r="AH142" s="257">
        <f t="shared" si="313"/>
        <v>3910.9066666666668</v>
      </c>
      <c r="AI142" s="257">
        <f t="shared" si="313"/>
        <v>3910.9066666666668</v>
      </c>
      <c r="AJ142" s="257">
        <f t="shared" si="313"/>
        <v>3910.9066666666668</v>
      </c>
      <c r="AK142" s="257">
        <f t="shared" si="313"/>
        <v>3910.9066666666668</v>
      </c>
      <c r="AL142" s="257">
        <f t="shared" si="313"/>
        <v>3910.9066666666668</v>
      </c>
      <c r="AM142" s="257">
        <f t="shared" si="313"/>
        <v>3910.9066666666668</v>
      </c>
      <c r="AN142" s="257">
        <f t="shared" si="313"/>
        <v>39109.066666666666</v>
      </c>
      <c r="AO142" s="257">
        <f t="shared" si="313"/>
        <v>19554.533333333333</v>
      </c>
    </row>
    <row r="143" spans="1:41" s="253" customFormat="1" x14ac:dyDescent="0.25">
      <c r="A143" s="242" t="str">
        <f t="shared" ref="A143:M143" si="314">A42</f>
        <v>Equipo I21</v>
      </c>
      <c r="B143" s="242">
        <f t="shared" si="314"/>
        <v>1</v>
      </c>
      <c r="C143" s="242">
        <f t="shared" si="314"/>
        <v>0</v>
      </c>
      <c r="D143" s="242">
        <f t="shared" si="314"/>
        <v>0</v>
      </c>
      <c r="E143" s="242">
        <f t="shared" si="314"/>
        <v>0</v>
      </c>
      <c r="F143" s="242">
        <f t="shared" si="314"/>
        <v>0</v>
      </c>
      <c r="G143" s="242">
        <f t="shared" si="314"/>
        <v>0</v>
      </c>
      <c r="H143" s="242">
        <f t="shared" si="314"/>
        <v>0</v>
      </c>
      <c r="I143" s="242">
        <f t="shared" si="314"/>
        <v>0</v>
      </c>
      <c r="J143" s="242">
        <f t="shared" si="314"/>
        <v>0</v>
      </c>
      <c r="K143" s="242">
        <f t="shared" si="314"/>
        <v>0</v>
      </c>
      <c r="L143" s="242">
        <f t="shared" si="314"/>
        <v>0</v>
      </c>
      <c r="M143" s="242">
        <f t="shared" si="314"/>
        <v>1</v>
      </c>
      <c r="N143" s="257">
        <f t="shared" ref="N143:AO143" si="315">N42</f>
        <v>164720</v>
      </c>
      <c r="O143" s="257">
        <f t="shared" si="315"/>
        <v>164720</v>
      </c>
      <c r="P143" s="257">
        <f t="shared" si="315"/>
        <v>164720</v>
      </c>
      <c r="Q143" s="257">
        <f t="shared" si="315"/>
        <v>0</v>
      </c>
      <c r="R143" s="257">
        <f t="shared" si="315"/>
        <v>0</v>
      </c>
      <c r="S143" s="257">
        <f t="shared" si="315"/>
        <v>0</v>
      </c>
      <c r="T143" s="257">
        <f t="shared" si="315"/>
        <v>0</v>
      </c>
      <c r="U143" s="257">
        <f t="shared" si="315"/>
        <v>0</v>
      </c>
      <c r="V143" s="257">
        <f t="shared" si="315"/>
        <v>0</v>
      </c>
      <c r="W143" s="257">
        <f t="shared" si="315"/>
        <v>0</v>
      </c>
      <c r="X143" s="257">
        <f t="shared" si="315"/>
        <v>0</v>
      </c>
      <c r="Y143" s="257">
        <f t="shared" si="315"/>
        <v>0</v>
      </c>
      <c r="Z143" s="257">
        <f t="shared" si="315"/>
        <v>0</v>
      </c>
      <c r="AA143" s="380">
        <f t="shared" si="315"/>
        <v>15</v>
      </c>
      <c r="AB143" s="257">
        <f t="shared" si="315"/>
        <v>10981.333333333334</v>
      </c>
      <c r="AC143" s="257">
        <f t="shared" si="315"/>
        <v>0</v>
      </c>
      <c r="AD143" s="257">
        <f t="shared" si="315"/>
        <v>10981.333333333334</v>
      </c>
      <c r="AE143" s="257">
        <f t="shared" si="315"/>
        <v>10981.333333333334</v>
      </c>
      <c r="AF143" s="257">
        <f t="shared" si="315"/>
        <v>10981.333333333334</v>
      </c>
      <c r="AG143" s="257">
        <f t="shared" si="315"/>
        <v>10981.333333333334</v>
      </c>
      <c r="AH143" s="257">
        <f t="shared" si="315"/>
        <v>10981.333333333334</v>
      </c>
      <c r="AI143" s="257">
        <f t="shared" si="315"/>
        <v>10981.333333333334</v>
      </c>
      <c r="AJ143" s="257">
        <f t="shared" si="315"/>
        <v>10981.333333333334</v>
      </c>
      <c r="AK143" s="257">
        <f t="shared" si="315"/>
        <v>10981.333333333334</v>
      </c>
      <c r="AL143" s="257">
        <f t="shared" si="315"/>
        <v>10981.333333333334</v>
      </c>
      <c r="AM143" s="257">
        <f t="shared" si="315"/>
        <v>10981.333333333334</v>
      </c>
      <c r="AN143" s="257">
        <f t="shared" si="315"/>
        <v>109813.33333333331</v>
      </c>
      <c r="AO143" s="257">
        <f t="shared" si="315"/>
        <v>54906.666666666686</v>
      </c>
    </row>
    <row r="144" spans="1:41" s="253" customFormat="1" x14ac:dyDescent="0.25">
      <c r="A144" s="242" t="str">
        <f t="shared" ref="A144:M144" si="316">A43</f>
        <v>Equipo I22</v>
      </c>
      <c r="B144" s="242">
        <f t="shared" si="316"/>
        <v>1</v>
      </c>
      <c r="C144" s="242">
        <f t="shared" si="316"/>
        <v>0</v>
      </c>
      <c r="D144" s="242">
        <f t="shared" si="316"/>
        <v>0</v>
      </c>
      <c r="E144" s="242">
        <f t="shared" si="316"/>
        <v>0</v>
      </c>
      <c r="F144" s="242">
        <f t="shared" si="316"/>
        <v>0</v>
      </c>
      <c r="G144" s="242">
        <f t="shared" si="316"/>
        <v>0</v>
      </c>
      <c r="H144" s="242">
        <f t="shared" si="316"/>
        <v>0</v>
      </c>
      <c r="I144" s="242">
        <f t="shared" si="316"/>
        <v>0</v>
      </c>
      <c r="J144" s="242">
        <f t="shared" si="316"/>
        <v>0</v>
      </c>
      <c r="K144" s="242">
        <f t="shared" si="316"/>
        <v>0</v>
      </c>
      <c r="L144" s="242">
        <f t="shared" si="316"/>
        <v>0</v>
      </c>
      <c r="M144" s="242">
        <f t="shared" si="316"/>
        <v>1</v>
      </c>
      <c r="N144" s="257">
        <f t="shared" ref="N144:AO144" si="317">N43</f>
        <v>87996</v>
      </c>
      <c r="O144" s="257">
        <f t="shared" si="317"/>
        <v>87996</v>
      </c>
      <c r="P144" s="257">
        <f t="shared" si="317"/>
        <v>87996</v>
      </c>
      <c r="Q144" s="257">
        <f t="shared" si="317"/>
        <v>0</v>
      </c>
      <c r="R144" s="257">
        <f t="shared" si="317"/>
        <v>0</v>
      </c>
      <c r="S144" s="257">
        <f t="shared" si="317"/>
        <v>0</v>
      </c>
      <c r="T144" s="257">
        <f t="shared" si="317"/>
        <v>0</v>
      </c>
      <c r="U144" s="257">
        <f t="shared" si="317"/>
        <v>0</v>
      </c>
      <c r="V144" s="257">
        <f t="shared" si="317"/>
        <v>0</v>
      </c>
      <c r="W144" s="257">
        <f t="shared" si="317"/>
        <v>0</v>
      </c>
      <c r="X144" s="257">
        <f t="shared" si="317"/>
        <v>0</v>
      </c>
      <c r="Y144" s="257">
        <f t="shared" si="317"/>
        <v>0</v>
      </c>
      <c r="Z144" s="257">
        <f t="shared" si="317"/>
        <v>0</v>
      </c>
      <c r="AA144" s="380">
        <f t="shared" si="317"/>
        <v>15</v>
      </c>
      <c r="AB144" s="257">
        <f t="shared" si="317"/>
        <v>5866.4</v>
      </c>
      <c r="AC144" s="257">
        <f t="shared" si="317"/>
        <v>0</v>
      </c>
      <c r="AD144" s="257">
        <f t="shared" si="317"/>
        <v>5866.4</v>
      </c>
      <c r="AE144" s="257">
        <f t="shared" si="317"/>
        <v>5866.4</v>
      </c>
      <c r="AF144" s="257">
        <f t="shared" si="317"/>
        <v>5866.4</v>
      </c>
      <c r="AG144" s="257">
        <f t="shared" si="317"/>
        <v>5866.4</v>
      </c>
      <c r="AH144" s="257">
        <f t="shared" si="317"/>
        <v>5866.4</v>
      </c>
      <c r="AI144" s="257">
        <f t="shared" si="317"/>
        <v>5866.4</v>
      </c>
      <c r="AJ144" s="257">
        <f t="shared" si="317"/>
        <v>5866.4</v>
      </c>
      <c r="AK144" s="257">
        <f t="shared" si="317"/>
        <v>5866.4</v>
      </c>
      <c r="AL144" s="257">
        <f t="shared" si="317"/>
        <v>5866.4</v>
      </c>
      <c r="AM144" s="257">
        <f t="shared" si="317"/>
        <v>5866.4</v>
      </c>
      <c r="AN144" s="257">
        <f t="shared" si="317"/>
        <v>58664.000000000007</v>
      </c>
      <c r="AO144" s="257">
        <f t="shared" si="317"/>
        <v>29331.999999999993</v>
      </c>
    </row>
    <row r="145" spans="1:41" s="253" customFormat="1" x14ac:dyDescent="0.25">
      <c r="A145" s="242" t="str">
        <f t="shared" ref="A145:M145" si="318">A44</f>
        <v>Equipo I23</v>
      </c>
      <c r="B145" s="242">
        <f t="shared" si="318"/>
        <v>1</v>
      </c>
      <c r="C145" s="242">
        <f t="shared" si="318"/>
        <v>0</v>
      </c>
      <c r="D145" s="242">
        <f t="shared" si="318"/>
        <v>0</v>
      </c>
      <c r="E145" s="242">
        <f t="shared" si="318"/>
        <v>0</v>
      </c>
      <c r="F145" s="242">
        <f t="shared" si="318"/>
        <v>0</v>
      </c>
      <c r="G145" s="242">
        <f t="shared" si="318"/>
        <v>0</v>
      </c>
      <c r="H145" s="242">
        <f t="shared" si="318"/>
        <v>0</v>
      </c>
      <c r="I145" s="242">
        <f t="shared" si="318"/>
        <v>0</v>
      </c>
      <c r="J145" s="242">
        <f t="shared" si="318"/>
        <v>0</v>
      </c>
      <c r="K145" s="242">
        <f t="shared" si="318"/>
        <v>0</v>
      </c>
      <c r="L145" s="242">
        <f t="shared" si="318"/>
        <v>0</v>
      </c>
      <c r="M145" s="242">
        <f t="shared" si="318"/>
        <v>1</v>
      </c>
      <c r="N145" s="257">
        <f t="shared" ref="N145:AO145" si="319">N44</f>
        <v>5098.8</v>
      </c>
      <c r="O145" s="257">
        <f t="shared" si="319"/>
        <v>5098.8</v>
      </c>
      <c r="P145" s="257">
        <f t="shared" si="319"/>
        <v>5098.8</v>
      </c>
      <c r="Q145" s="257">
        <f t="shared" si="319"/>
        <v>0</v>
      </c>
      <c r="R145" s="257">
        <f t="shared" si="319"/>
        <v>0</v>
      </c>
      <c r="S145" s="257">
        <f t="shared" si="319"/>
        <v>0</v>
      </c>
      <c r="T145" s="257">
        <f t="shared" si="319"/>
        <v>0</v>
      </c>
      <c r="U145" s="257">
        <f t="shared" si="319"/>
        <v>0</v>
      </c>
      <c r="V145" s="257">
        <f t="shared" si="319"/>
        <v>0</v>
      </c>
      <c r="W145" s="257">
        <f t="shared" si="319"/>
        <v>0</v>
      </c>
      <c r="X145" s="257">
        <f t="shared" si="319"/>
        <v>0</v>
      </c>
      <c r="Y145" s="257">
        <f t="shared" si="319"/>
        <v>0</v>
      </c>
      <c r="Z145" s="257">
        <f t="shared" si="319"/>
        <v>0</v>
      </c>
      <c r="AA145" s="380">
        <f t="shared" si="319"/>
        <v>15</v>
      </c>
      <c r="AB145" s="257">
        <f t="shared" si="319"/>
        <v>339.92</v>
      </c>
      <c r="AC145" s="257">
        <f t="shared" si="319"/>
        <v>0</v>
      </c>
      <c r="AD145" s="257">
        <f t="shared" si="319"/>
        <v>339.92</v>
      </c>
      <c r="AE145" s="257">
        <f t="shared" si="319"/>
        <v>339.92</v>
      </c>
      <c r="AF145" s="257">
        <f t="shared" si="319"/>
        <v>339.92</v>
      </c>
      <c r="AG145" s="257">
        <f t="shared" si="319"/>
        <v>339.92</v>
      </c>
      <c r="AH145" s="257">
        <f t="shared" si="319"/>
        <v>339.92</v>
      </c>
      <c r="AI145" s="257">
        <f t="shared" si="319"/>
        <v>339.92</v>
      </c>
      <c r="AJ145" s="257">
        <f t="shared" si="319"/>
        <v>339.92</v>
      </c>
      <c r="AK145" s="257">
        <f t="shared" si="319"/>
        <v>339.92</v>
      </c>
      <c r="AL145" s="257">
        <f t="shared" si="319"/>
        <v>339.92</v>
      </c>
      <c r="AM145" s="257">
        <f t="shared" si="319"/>
        <v>339.92</v>
      </c>
      <c r="AN145" s="257">
        <f t="shared" si="319"/>
        <v>3399.2000000000003</v>
      </c>
      <c r="AO145" s="257">
        <f t="shared" si="319"/>
        <v>1699.6</v>
      </c>
    </row>
    <row r="146" spans="1:41" s="253" customFormat="1" x14ac:dyDescent="0.25">
      <c r="A146" s="242" t="str">
        <f t="shared" ref="A146:M146" si="320">A45</f>
        <v>Equipo I24</v>
      </c>
      <c r="B146" s="242">
        <f t="shared" si="320"/>
        <v>3</v>
      </c>
      <c r="C146" s="242">
        <f t="shared" si="320"/>
        <v>0</v>
      </c>
      <c r="D146" s="242">
        <f t="shared" si="320"/>
        <v>0</v>
      </c>
      <c r="E146" s="242">
        <f t="shared" si="320"/>
        <v>0</v>
      </c>
      <c r="F146" s="242">
        <f t="shared" si="320"/>
        <v>0</v>
      </c>
      <c r="G146" s="242">
        <f t="shared" si="320"/>
        <v>0</v>
      </c>
      <c r="H146" s="242">
        <f t="shared" si="320"/>
        <v>0</v>
      </c>
      <c r="I146" s="242">
        <f t="shared" si="320"/>
        <v>0</v>
      </c>
      <c r="J146" s="242">
        <f t="shared" si="320"/>
        <v>0</v>
      </c>
      <c r="K146" s="242">
        <f t="shared" si="320"/>
        <v>0</v>
      </c>
      <c r="L146" s="242">
        <f t="shared" si="320"/>
        <v>0</v>
      </c>
      <c r="M146" s="242">
        <f t="shared" si="320"/>
        <v>3</v>
      </c>
      <c r="N146" s="257">
        <f t="shared" ref="N146:AO146" si="321">N45</f>
        <v>5280.9000000000005</v>
      </c>
      <c r="O146" s="257">
        <f t="shared" si="321"/>
        <v>15842.7</v>
      </c>
      <c r="P146" s="257">
        <f t="shared" si="321"/>
        <v>15842.7</v>
      </c>
      <c r="Q146" s="257">
        <f t="shared" si="321"/>
        <v>0</v>
      </c>
      <c r="R146" s="257">
        <f t="shared" si="321"/>
        <v>0</v>
      </c>
      <c r="S146" s="257">
        <f t="shared" si="321"/>
        <v>0</v>
      </c>
      <c r="T146" s="257">
        <f t="shared" si="321"/>
        <v>0</v>
      </c>
      <c r="U146" s="257">
        <f t="shared" si="321"/>
        <v>0</v>
      </c>
      <c r="V146" s="257">
        <f t="shared" si="321"/>
        <v>0</v>
      </c>
      <c r="W146" s="257">
        <f t="shared" si="321"/>
        <v>0</v>
      </c>
      <c r="X146" s="257">
        <f t="shared" si="321"/>
        <v>0</v>
      </c>
      <c r="Y146" s="257">
        <f t="shared" si="321"/>
        <v>0</v>
      </c>
      <c r="Z146" s="257">
        <f t="shared" si="321"/>
        <v>0</v>
      </c>
      <c r="AA146" s="380">
        <f t="shared" si="321"/>
        <v>15</v>
      </c>
      <c r="AB146" s="257">
        <f t="shared" si="321"/>
        <v>1056.18</v>
      </c>
      <c r="AC146" s="257">
        <f t="shared" si="321"/>
        <v>0</v>
      </c>
      <c r="AD146" s="257">
        <f t="shared" si="321"/>
        <v>1056.18</v>
      </c>
      <c r="AE146" s="257">
        <f t="shared" si="321"/>
        <v>1056.18</v>
      </c>
      <c r="AF146" s="257">
        <f t="shared" si="321"/>
        <v>1056.18</v>
      </c>
      <c r="AG146" s="257">
        <f t="shared" si="321"/>
        <v>1056.18</v>
      </c>
      <c r="AH146" s="257">
        <f t="shared" si="321"/>
        <v>1056.18</v>
      </c>
      <c r="AI146" s="257">
        <f t="shared" si="321"/>
        <v>1056.18</v>
      </c>
      <c r="AJ146" s="257">
        <f t="shared" si="321"/>
        <v>1056.18</v>
      </c>
      <c r="AK146" s="257">
        <f t="shared" si="321"/>
        <v>1056.18</v>
      </c>
      <c r="AL146" s="257">
        <f t="shared" si="321"/>
        <v>1056.18</v>
      </c>
      <c r="AM146" s="257">
        <f t="shared" si="321"/>
        <v>1056.18</v>
      </c>
      <c r="AN146" s="257">
        <f t="shared" si="321"/>
        <v>10561.800000000001</v>
      </c>
      <c r="AO146" s="257">
        <f t="shared" si="321"/>
        <v>5280.9</v>
      </c>
    </row>
    <row r="147" spans="1:41" s="253" customFormat="1" x14ac:dyDescent="0.25">
      <c r="A147" s="242" t="str">
        <f t="shared" ref="A147:M147" si="322">A46</f>
        <v>Equipo I25</v>
      </c>
      <c r="B147" s="242">
        <f t="shared" si="322"/>
        <v>3</v>
      </c>
      <c r="C147" s="242">
        <f t="shared" si="322"/>
        <v>0</v>
      </c>
      <c r="D147" s="242">
        <f t="shared" si="322"/>
        <v>0</v>
      </c>
      <c r="E147" s="242">
        <f t="shared" si="322"/>
        <v>0</v>
      </c>
      <c r="F147" s="242">
        <f t="shared" si="322"/>
        <v>0</v>
      </c>
      <c r="G147" s="242">
        <f t="shared" si="322"/>
        <v>0</v>
      </c>
      <c r="H147" s="242">
        <f t="shared" si="322"/>
        <v>0</v>
      </c>
      <c r="I147" s="242">
        <f t="shared" si="322"/>
        <v>0</v>
      </c>
      <c r="J147" s="242">
        <f t="shared" si="322"/>
        <v>0</v>
      </c>
      <c r="K147" s="242">
        <f t="shared" si="322"/>
        <v>0</v>
      </c>
      <c r="L147" s="242">
        <f t="shared" si="322"/>
        <v>0</v>
      </c>
      <c r="M147" s="242">
        <f t="shared" si="322"/>
        <v>3</v>
      </c>
      <c r="N147" s="257">
        <f t="shared" ref="N147:AO147" si="323">N46</f>
        <v>31402</v>
      </c>
      <c r="O147" s="257">
        <f t="shared" si="323"/>
        <v>94206</v>
      </c>
      <c r="P147" s="257">
        <f t="shared" si="323"/>
        <v>94206</v>
      </c>
      <c r="Q147" s="257">
        <f t="shared" si="323"/>
        <v>0</v>
      </c>
      <c r="R147" s="257">
        <f t="shared" si="323"/>
        <v>0</v>
      </c>
      <c r="S147" s="257">
        <f t="shared" si="323"/>
        <v>0</v>
      </c>
      <c r="T147" s="257">
        <f t="shared" si="323"/>
        <v>0</v>
      </c>
      <c r="U147" s="257">
        <f t="shared" si="323"/>
        <v>0</v>
      </c>
      <c r="V147" s="257">
        <f t="shared" si="323"/>
        <v>0</v>
      </c>
      <c r="W147" s="257">
        <f t="shared" si="323"/>
        <v>0</v>
      </c>
      <c r="X147" s="257">
        <f t="shared" si="323"/>
        <v>0</v>
      </c>
      <c r="Y147" s="257">
        <f t="shared" si="323"/>
        <v>0</v>
      </c>
      <c r="Z147" s="257">
        <f t="shared" si="323"/>
        <v>0</v>
      </c>
      <c r="AA147" s="380">
        <f t="shared" si="323"/>
        <v>15</v>
      </c>
      <c r="AB147" s="257">
        <f t="shared" si="323"/>
        <v>6280.4</v>
      </c>
      <c r="AC147" s="257">
        <f t="shared" si="323"/>
        <v>0</v>
      </c>
      <c r="AD147" s="257">
        <f t="shared" si="323"/>
        <v>6280.4</v>
      </c>
      <c r="AE147" s="257">
        <f t="shared" si="323"/>
        <v>6280.4</v>
      </c>
      <c r="AF147" s="257">
        <f t="shared" si="323"/>
        <v>6280.4</v>
      </c>
      <c r="AG147" s="257">
        <f t="shared" si="323"/>
        <v>6280.4</v>
      </c>
      <c r="AH147" s="257">
        <f t="shared" si="323"/>
        <v>6280.4</v>
      </c>
      <c r="AI147" s="257">
        <f t="shared" si="323"/>
        <v>6280.4</v>
      </c>
      <c r="AJ147" s="257">
        <f t="shared" si="323"/>
        <v>6280.4</v>
      </c>
      <c r="AK147" s="257">
        <f t="shared" si="323"/>
        <v>6280.4</v>
      </c>
      <c r="AL147" s="257">
        <f t="shared" si="323"/>
        <v>6280.4</v>
      </c>
      <c r="AM147" s="257">
        <f t="shared" si="323"/>
        <v>6280.4</v>
      </c>
      <c r="AN147" s="257">
        <f t="shared" si="323"/>
        <v>62804.000000000007</v>
      </c>
      <c r="AO147" s="257">
        <f t="shared" si="323"/>
        <v>31401.999999999993</v>
      </c>
    </row>
    <row r="148" spans="1:41" s="253" customFormat="1" x14ac:dyDescent="0.25">
      <c r="A148" s="242" t="str">
        <f t="shared" ref="A148:M148" si="324">A47</f>
        <v>Equipo I26</v>
      </c>
      <c r="B148" s="242">
        <f t="shared" si="324"/>
        <v>2</v>
      </c>
      <c r="C148" s="242">
        <f t="shared" si="324"/>
        <v>0</v>
      </c>
      <c r="D148" s="242">
        <f t="shared" si="324"/>
        <v>0</v>
      </c>
      <c r="E148" s="242">
        <f t="shared" si="324"/>
        <v>0</v>
      </c>
      <c r="F148" s="242">
        <f t="shared" si="324"/>
        <v>0</v>
      </c>
      <c r="G148" s="242">
        <f t="shared" si="324"/>
        <v>0</v>
      </c>
      <c r="H148" s="242">
        <f t="shared" si="324"/>
        <v>0</v>
      </c>
      <c r="I148" s="242">
        <f t="shared" si="324"/>
        <v>0</v>
      </c>
      <c r="J148" s="242">
        <f t="shared" si="324"/>
        <v>0</v>
      </c>
      <c r="K148" s="242">
        <f t="shared" si="324"/>
        <v>0</v>
      </c>
      <c r="L148" s="242">
        <f t="shared" si="324"/>
        <v>0</v>
      </c>
      <c r="M148" s="242">
        <f t="shared" si="324"/>
        <v>2</v>
      </c>
      <c r="N148" s="257">
        <f t="shared" ref="N148:AO148" si="325">N47</f>
        <v>30606.300000000003</v>
      </c>
      <c r="O148" s="257">
        <f t="shared" si="325"/>
        <v>61212.600000000006</v>
      </c>
      <c r="P148" s="257">
        <f t="shared" si="325"/>
        <v>61212.600000000006</v>
      </c>
      <c r="Q148" s="257">
        <f t="shared" si="325"/>
        <v>0</v>
      </c>
      <c r="R148" s="257">
        <f t="shared" si="325"/>
        <v>0</v>
      </c>
      <c r="S148" s="257">
        <f t="shared" si="325"/>
        <v>0</v>
      </c>
      <c r="T148" s="257">
        <f t="shared" si="325"/>
        <v>0</v>
      </c>
      <c r="U148" s="257">
        <f t="shared" si="325"/>
        <v>0</v>
      </c>
      <c r="V148" s="257">
        <f t="shared" si="325"/>
        <v>0</v>
      </c>
      <c r="W148" s="257">
        <f t="shared" si="325"/>
        <v>0</v>
      </c>
      <c r="X148" s="257">
        <f t="shared" si="325"/>
        <v>0</v>
      </c>
      <c r="Y148" s="257">
        <f t="shared" si="325"/>
        <v>0</v>
      </c>
      <c r="Z148" s="257">
        <f t="shared" si="325"/>
        <v>0</v>
      </c>
      <c r="AA148" s="380">
        <f t="shared" si="325"/>
        <v>15</v>
      </c>
      <c r="AB148" s="257">
        <f t="shared" si="325"/>
        <v>4080.8400000000006</v>
      </c>
      <c r="AC148" s="257">
        <f t="shared" si="325"/>
        <v>0</v>
      </c>
      <c r="AD148" s="257">
        <f t="shared" si="325"/>
        <v>4080.8400000000006</v>
      </c>
      <c r="AE148" s="257">
        <f t="shared" si="325"/>
        <v>4080.8400000000006</v>
      </c>
      <c r="AF148" s="257">
        <f t="shared" si="325"/>
        <v>4080.8400000000006</v>
      </c>
      <c r="AG148" s="257">
        <f t="shared" si="325"/>
        <v>4080.8400000000006</v>
      </c>
      <c r="AH148" s="257">
        <f t="shared" si="325"/>
        <v>4080.8400000000006</v>
      </c>
      <c r="AI148" s="257">
        <f t="shared" si="325"/>
        <v>4080.8400000000006</v>
      </c>
      <c r="AJ148" s="257">
        <f t="shared" si="325"/>
        <v>4080.8400000000006</v>
      </c>
      <c r="AK148" s="257">
        <f t="shared" si="325"/>
        <v>4080.8400000000006</v>
      </c>
      <c r="AL148" s="257">
        <f t="shared" si="325"/>
        <v>4080.8400000000006</v>
      </c>
      <c r="AM148" s="257">
        <f t="shared" si="325"/>
        <v>4080.8400000000006</v>
      </c>
      <c r="AN148" s="257">
        <f t="shared" si="325"/>
        <v>40808.400000000009</v>
      </c>
      <c r="AO148" s="257">
        <f t="shared" si="325"/>
        <v>20404.199999999997</v>
      </c>
    </row>
    <row r="149" spans="1:41" s="253" customFormat="1" x14ac:dyDescent="0.25">
      <c r="A149" s="242" t="str">
        <f t="shared" ref="A149:M149" si="326">A48</f>
        <v>Equipo I27</v>
      </c>
      <c r="B149" s="242">
        <f t="shared" si="326"/>
        <v>1</v>
      </c>
      <c r="C149" s="242">
        <f t="shared" si="326"/>
        <v>0</v>
      </c>
      <c r="D149" s="242">
        <f t="shared" si="326"/>
        <v>0</v>
      </c>
      <c r="E149" s="242">
        <f t="shared" si="326"/>
        <v>0</v>
      </c>
      <c r="F149" s="242">
        <f t="shared" si="326"/>
        <v>0</v>
      </c>
      <c r="G149" s="242">
        <f t="shared" si="326"/>
        <v>0</v>
      </c>
      <c r="H149" s="242">
        <f t="shared" si="326"/>
        <v>0</v>
      </c>
      <c r="I149" s="242">
        <f t="shared" si="326"/>
        <v>0</v>
      </c>
      <c r="J149" s="242">
        <f t="shared" si="326"/>
        <v>0</v>
      </c>
      <c r="K149" s="242">
        <f t="shared" si="326"/>
        <v>0</v>
      </c>
      <c r="L149" s="242">
        <f t="shared" si="326"/>
        <v>0</v>
      </c>
      <c r="M149" s="242">
        <f t="shared" si="326"/>
        <v>1</v>
      </c>
      <c r="N149" s="257">
        <f t="shared" ref="N149:AO149" si="327">N48</f>
        <v>83759</v>
      </c>
      <c r="O149" s="257">
        <f t="shared" si="327"/>
        <v>83759</v>
      </c>
      <c r="P149" s="257">
        <f t="shared" si="327"/>
        <v>83759</v>
      </c>
      <c r="Q149" s="257">
        <f t="shared" si="327"/>
        <v>0</v>
      </c>
      <c r="R149" s="257">
        <f t="shared" si="327"/>
        <v>0</v>
      </c>
      <c r="S149" s="257">
        <f t="shared" si="327"/>
        <v>0</v>
      </c>
      <c r="T149" s="257">
        <f t="shared" si="327"/>
        <v>0</v>
      </c>
      <c r="U149" s="257">
        <f t="shared" si="327"/>
        <v>0</v>
      </c>
      <c r="V149" s="257">
        <f t="shared" si="327"/>
        <v>0</v>
      </c>
      <c r="W149" s="257">
        <f t="shared" si="327"/>
        <v>0</v>
      </c>
      <c r="X149" s="257">
        <f t="shared" si="327"/>
        <v>0</v>
      </c>
      <c r="Y149" s="257">
        <f t="shared" si="327"/>
        <v>0</v>
      </c>
      <c r="Z149" s="257">
        <f t="shared" si="327"/>
        <v>0</v>
      </c>
      <c r="AA149" s="380">
        <f t="shared" si="327"/>
        <v>15</v>
      </c>
      <c r="AB149" s="257">
        <f t="shared" si="327"/>
        <v>5583.9333333333334</v>
      </c>
      <c r="AC149" s="257">
        <f t="shared" si="327"/>
        <v>0</v>
      </c>
      <c r="AD149" s="257">
        <f t="shared" si="327"/>
        <v>5583.9333333333334</v>
      </c>
      <c r="AE149" s="257">
        <f t="shared" si="327"/>
        <v>5583.9333333333334</v>
      </c>
      <c r="AF149" s="257">
        <f t="shared" si="327"/>
        <v>5583.9333333333334</v>
      </c>
      <c r="AG149" s="257">
        <f t="shared" si="327"/>
        <v>5583.9333333333334</v>
      </c>
      <c r="AH149" s="257">
        <f t="shared" si="327"/>
        <v>5583.9333333333334</v>
      </c>
      <c r="AI149" s="257">
        <f t="shared" si="327"/>
        <v>5583.9333333333334</v>
      </c>
      <c r="AJ149" s="257">
        <f t="shared" si="327"/>
        <v>5583.9333333333334</v>
      </c>
      <c r="AK149" s="257">
        <f t="shared" si="327"/>
        <v>5583.9333333333334</v>
      </c>
      <c r="AL149" s="257">
        <f t="shared" si="327"/>
        <v>5583.9333333333334</v>
      </c>
      <c r="AM149" s="257">
        <f t="shared" si="327"/>
        <v>5583.9333333333334</v>
      </c>
      <c r="AN149" s="257">
        <f t="shared" si="327"/>
        <v>55839.333333333336</v>
      </c>
      <c r="AO149" s="257">
        <f t="shared" si="327"/>
        <v>27919.666666666664</v>
      </c>
    </row>
    <row r="150" spans="1:41" s="253" customFormat="1" x14ac:dyDescent="0.25">
      <c r="A150" s="242" t="str">
        <f t="shared" ref="A150:M150" si="328">A49</f>
        <v>Equipo I28</v>
      </c>
      <c r="B150" s="242">
        <f t="shared" si="328"/>
        <v>1</v>
      </c>
      <c r="C150" s="242">
        <f t="shared" si="328"/>
        <v>0</v>
      </c>
      <c r="D150" s="242">
        <f t="shared" si="328"/>
        <v>0</v>
      </c>
      <c r="E150" s="242">
        <f t="shared" si="328"/>
        <v>0</v>
      </c>
      <c r="F150" s="242">
        <f t="shared" si="328"/>
        <v>0</v>
      </c>
      <c r="G150" s="242">
        <f t="shared" si="328"/>
        <v>0</v>
      </c>
      <c r="H150" s="242">
        <f t="shared" si="328"/>
        <v>0</v>
      </c>
      <c r="I150" s="242">
        <f t="shared" si="328"/>
        <v>0</v>
      </c>
      <c r="J150" s="242">
        <f t="shared" si="328"/>
        <v>0</v>
      </c>
      <c r="K150" s="242">
        <f t="shared" si="328"/>
        <v>0</v>
      </c>
      <c r="L150" s="242">
        <f t="shared" si="328"/>
        <v>0</v>
      </c>
      <c r="M150" s="242">
        <f t="shared" si="328"/>
        <v>1</v>
      </c>
      <c r="N150" s="257">
        <f t="shared" ref="N150:AO150" si="329">N49</f>
        <v>18902.2</v>
      </c>
      <c r="O150" s="257">
        <f t="shared" si="329"/>
        <v>18902.2</v>
      </c>
      <c r="P150" s="257">
        <f t="shared" si="329"/>
        <v>18902.2</v>
      </c>
      <c r="Q150" s="257">
        <f t="shared" si="329"/>
        <v>0</v>
      </c>
      <c r="R150" s="257">
        <f t="shared" si="329"/>
        <v>0</v>
      </c>
      <c r="S150" s="257">
        <f t="shared" si="329"/>
        <v>0</v>
      </c>
      <c r="T150" s="257">
        <f t="shared" si="329"/>
        <v>0</v>
      </c>
      <c r="U150" s="257">
        <f t="shared" si="329"/>
        <v>0</v>
      </c>
      <c r="V150" s="257">
        <f t="shared" si="329"/>
        <v>0</v>
      </c>
      <c r="W150" s="257">
        <f t="shared" si="329"/>
        <v>0</v>
      </c>
      <c r="X150" s="257">
        <f t="shared" si="329"/>
        <v>0</v>
      </c>
      <c r="Y150" s="257">
        <f t="shared" si="329"/>
        <v>0</v>
      </c>
      <c r="Z150" s="257">
        <f t="shared" si="329"/>
        <v>0</v>
      </c>
      <c r="AA150" s="380">
        <f t="shared" si="329"/>
        <v>15</v>
      </c>
      <c r="AB150" s="257">
        <f t="shared" si="329"/>
        <v>1260.1466666666668</v>
      </c>
      <c r="AC150" s="257">
        <f t="shared" si="329"/>
        <v>0</v>
      </c>
      <c r="AD150" s="257">
        <f t="shared" si="329"/>
        <v>1260.1466666666668</v>
      </c>
      <c r="AE150" s="257">
        <f t="shared" si="329"/>
        <v>1260.1466666666668</v>
      </c>
      <c r="AF150" s="257">
        <f t="shared" si="329"/>
        <v>1260.1466666666668</v>
      </c>
      <c r="AG150" s="257">
        <f t="shared" si="329"/>
        <v>1260.1466666666668</v>
      </c>
      <c r="AH150" s="257">
        <f t="shared" si="329"/>
        <v>1260.1466666666668</v>
      </c>
      <c r="AI150" s="257">
        <f t="shared" si="329"/>
        <v>1260.1466666666668</v>
      </c>
      <c r="AJ150" s="257">
        <f t="shared" si="329"/>
        <v>1260.1466666666668</v>
      </c>
      <c r="AK150" s="257">
        <f t="shared" si="329"/>
        <v>1260.1466666666668</v>
      </c>
      <c r="AL150" s="257">
        <f t="shared" si="329"/>
        <v>1260.1466666666668</v>
      </c>
      <c r="AM150" s="257">
        <f t="shared" si="329"/>
        <v>1260.1466666666668</v>
      </c>
      <c r="AN150" s="257">
        <f t="shared" si="329"/>
        <v>12601.466666666669</v>
      </c>
      <c r="AO150" s="257">
        <f t="shared" si="329"/>
        <v>6300.7333333333318</v>
      </c>
    </row>
    <row r="151" spans="1:41" s="253" customFormat="1" x14ac:dyDescent="0.25">
      <c r="A151" s="242" t="str">
        <f t="shared" ref="A151:M151" si="330">A50</f>
        <v>Equipo I29</v>
      </c>
      <c r="B151" s="242">
        <f t="shared" si="330"/>
        <v>1</v>
      </c>
      <c r="C151" s="242">
        <f t="shared" si="330"/>
        <v>0</v>
      </c>
      <c r="D151" s="242">
        <f t="shared" si="330"/>
        <v>0</v>
      </c>
      <c r="E151" s="242">
        <f t="shared" si="330"/>
        <v>0</v>
      </c>
      <c r="F151" s="242">
        <f t="shared" si="330"/>
        <v>0</v>
      </c>
      <c r="G151" s="242">
        <f t="shared" si="330"/>
        <v>0</v>
      </c>
      <c r="H151" s="242">
        <f t="shared" si="330"/>
        <v>0</v>
      </c>
      <c r="I151" s="242">
        <f t="shared" si="330"/>
        <v>0</v>
      </c>
      <c r="J151" s="242">
        <f t="shared" si="330"/>
        <v>0</v>
      </c>
      <c r="K151" s="242">
        <f t="shared" si="330"/>
        <v>0</v>
      </c>
      <c r="L151" s="242">
        <f t="shared" si="330"/>
        <v>0</v>
      </c>
      <c r="M151" s="242">
        <f t="shared" si="330"/>
        <v>1</v>
      </c>
      <c r="N151" s="257">
        <f t="shared" ref="N151:AO151" si="331">N50</f>
        <v>147583.9</v>
      </c>
      <c r="O151" s="257">
        <f t="shared" si="331"/>
        <v>147583.9</v>
      </c>
      <c r="P151" s="257">
        <f t="shared" si="331"/>
        <v>147583.9</v>
      </c>
      <c r="Q151" s="257">
        <f t="shared" si="331"/>
        <v>0</v>
      </c>
      <c r="R151" s="257">
        <f t="shared" si="331"/>
        <v>0</v>
      </c>
      <c r="S151" s="257">
        <f t="shared" si="331"/>
        <v>0</v>
      </c>
      <c r="T151" s="257">
        <f t="shared" si="331"/>
        <v>0</v>
      </c>
      <c r="U151" s="257">
        <f t="shared" si="331"/>
        <v>0</v>
      </c>
      <c r="V151" s="257">
        <f t="shared" si="331"/>
        <v>0</v>
      </c>
      <c r="W151" s="257">
        <f t="shared" si="331"/>
        <v>0</v>
      </c>
      <c r="X151" s="257">
        <f t="shared" si="331"/>
        <v>0</v>
      </c>
      <c r="Y151" s="257">
        <f t="shared" si="331"/>
        <v>0</v>
      </c>
      <c r="Z151" s="257">
        <f t="shared" si="331"/>
        <v>0</v>
      </c>
      <c r="AA151" s="380">
        <f t="shared" si="331"/>
        <v>15</v>
      </c>
      <c r="AB151" s="257">
        <f t="shared" si="331"/>
        <v>9838.9266666666663</v>
      </c>
      <c r="AC151" s="257">
        <f t="shared" si="331"/>
        <v>0</v>
      </c>
      <c r="AD151" s="257">
        <f t="shared" si="331"/>
        <v>9838.9266666666663</v>
      </c>
      <c r="AE151" s="257">
        <f t="shared" si="331"/>
        <v>9838.9266666666663</v>
      </c>
      <c r="AF151" s="257">
        <f t="shared" si="331"/>
        <v>9838.9266666666663</v>
      </c>
      <c r="AG151" s="257">
        <f t="shared" si="331"/>
        <v>9838.9266666666663</v>
      </c>
      <c r="AH151" s="257">
        <f t="shared" si="331"/>
        <v>9838.9266666666663</v>
      </c>
      <c r="AI151" s="257">
        <f t="shared" si="331"/>
        <v>9838.9266666666663</v>
      </c>
      <c r="AJ151" s="257">
        <f t="shared" si="331"/>
        <v>9838.9266666666663</v>
      </c>
      <c r="AK151" s="257">
        <f t="shared" si="331"/>
        <v>9838.9266666666663</v>
      </c>
      <c r="AL151" s="257">
        <f t="shared" si="331"/>
        <v>9838.9266666666663</v>
      </c>
      <c r="AM151" s="257">
        <f t="shared" si="331"/>
        <v>9838.9266666666663</v>
      </c>
      <c r="AN151" s="257">
        <f t="shared" si="331"/>
        <v>98389.266666666663</v>
      </c>
      <c r="AO151" s="257">
        <f t="shared" si="331"/>
        <v>49194.633333333331</v>
      </c>
    </row>
    <row r="152" spans="1:41" s="253" customFormat="1" x14ac:dyDescent="0.25">
      <c r="A152" s="242" t="str">
        <f t="shared" ref="A152:M152" si="332">A51</f>
        <v>Equipo I30</v>
      </c>
      <c r="B152" s="242">
        <f t="shared" si="332"/>
        <v>1</v>
      </c>
      <c r="C152" s="242">
        <f t="shared" si="332"/>
        <v>0</v>
      </c>
      <c r="D152" s="242">
        <f t="shared" si="332"/>
        <v>0</v>
      </c>
      <c r="E152" s="242">
        <f t="shared" si="332"/>
        <v>0</v>
      </c>
      <c r="F152" s="242">
        <f t="shared" si="332"/>
        <v>0</v>
      </c>
      <c r="G152" s="242">
        <f t="shared" si="332"/>
        <v>0</v>
      </c>
      <c r="H152" s="242">
        <f t="shared" si="332"/>
        <v>0</v>
      </c>
      <c r="I152" s="242">
        <f t="shared" si="332"/>
        <v>0</v>
      </c>
      <c r="J152" s="242">
        <f t="shared" si="332"/>
        <v>0</v>
      </c>
      <c r="K152" s="242">
        <f t="shared" si="332"/>
        <v>0</v>
      </c>
      <c r="L152" s="242">
        <f t="shared" si="332"/>
        <v>0</v>
      </c>
      <c r="M152" s="242">
        <f t="shared" si="332"/>
        <v>1</v>
      </c>
      <c r="N152" s="257">
        <f t="shared" ref="N152:AO152" si="333">N51</f>
        <v>23925.200000000001</v>
      </c>
      <c r="O152" s="257">
        <f t="shared" si="333"/>
        <v>23925.200000000001</v>
      </c>
      <c r="P152" s="257">
        <f t="shared" si="333"/>
        <v>23925.200000000001</v>
      </c>
      <c r="Q152" s="257">
        <f t="shared" si="333"/>
        <v>0</v>
      </c>
      <c r="R152" s="257">
        <f t="shared" si="333"/>
        <v>0</v>
      </c>
      <c r="S152" s="257">
        <f t="shared" si="333"/>
        <v>0</v>
      </c>
      <c r="T152" s="257">
        <f t="shared" si="333"/>
        <v>0</v>
      </c>
      <c r="U152" s="257">
        <f t="shared" si="333"/>
        <v>0</v>
      </c>
      <c r="V152" s="257">
        <f t="shared" si="333"/>
        <v>0</v>
      </c>
      <c r="W152" s="257">
        <f t="shared" si="333"/>
        <v>0</v>
      </c>
      <c r="X152" s="257">
        <f t="shared" si="333"/>
        <v>0</v>
      </c>
      <c r="Y152" s="257">
        <f t="shared" si="333"/>
        <v>0</v>
      </c>
      <c r="Z152" s="257">
        <f t="shared" si="333"/>
        <v>0</v>
      </c>
      <c r="AA152" s="380">
        <f t="shared" si="333"/>
        <v>15</v>
      </c>
      <c r="AB152" s="257">
        <f t="shared" si="333"/>
        <v>1595.0133333333333</v>
      </c>
      <c r="AC152" s="257">
        <f t="shared" si="333"/>
        <v>0</v>
      </c>
      <c r="AD152" s="257">
        <f t="shared" si="333"/>
        <v>1595.0133333333333</v>
      </c>
      <c r="AE152" s="257">
        <f t="shared" si="333"/>
        <v>1595.0133333333333</v>
      </c>
      <c r="AF152" s="257">
        <f t="shared" si="333"/>
        <v>1595.0133333333333</v>
      </c>
      <c r="AG152" s="257">
        <f t="shared" si="333"/>
        <v>1595.0133333333333</v>
      </c>
      <c r="AH152" s="257">
        <f t="shared" si="333"/>
        <v>1595.0133333333333</v>
      </c>
      <c r="AI152" s="257">
        <f t="shared" si="333"/>
        <v>1595.0133333333333</v>
      </c>
      <c r="AJ152" s="257">
        <f t="shared" si="333"/>
        <v>1595.0133333333333</v>
      </c>
      <c r="AK152" s="257">
        <f t="shared" si="333"/>
        <v>1595.0133333333333</v>
      </c>
      <c r="AL152" s="257">
        <f t="shared" si="333"/>
        <v>1595.0133333333333</v>
      </c>
      <c r="AM152" s="257">
        <f t="shared" si="333"/>
        <v>1595.0133333333333</v>
      </c>
      <c r="AN152" s="257">
        <f t="shared" si="333"/>
        <v>15950.133333333331</v>
      </c>
      <c r="AO152" s="257">
        <f t="shared" si="333"/>
        <v>7975.0666666666693</v>
      </c>
    </row>
    <row r="153" spans="1:41" s="253" customFormat="1" x14ac:dyDescent="0.25">
      <c r="A153" s="242" t="str">
        <f t="shared" ref="A153:M153" si="334">A52</f>
        <v>Equipo I31</v>
      </c>
      <c r="B153" s="242">
        <f t="shared" si="334"/>
        <v>1</v>
      </c>
      <c r="C153" s="242">
        <f t="shared" si="334"/>
        <v>0</v>
      </c>
      <c r="D153" s="242">
        <f t="shared" si="334"/>
        <v>0</v>
      </c>
      <c r="E153" s="242">
        <f t="shared" si="334"/>
        <v>0</v>
      </c>
      <c r="F153" s="242">
        <f t="shared" si="334"/>
        <v>0</v>
      </c>
      <c r="G153" s="242">
        <f t="shared" si="334"/>
        <v>0</v>
      </c>
      <c r="H153" s="242">
        <f t="shared" si="334"/>
        <v>0</v>
      </c>
      <c r="I153" s="242">
        <f t="shared" si="334"/>
        <v>0</v>
      </c>
      <c r="J153" s="242">
        <f t="shared" si="334"/>
        <v>0</v>
      </c>
      <c r="K153" s="242">
        <f t="shared" si="334"/>
        <v>0</v>
      </c>
      <c r="L153" s="242">
        <f t="shared" si="334"/>
        <v>0</v>
      </c>
      <c r="M153" s="242">
        <f t="shared" si="334"/>
        <v>1</v>
      </c>
      <c r="N153" s="257">
        <f t="shared" ref="N153:AO153" si="335">N52</f>
        <v>19879.8</v>
      </c>
      <c r="O153" s="257">
        <f t="shared" si="335"/>
        <v>19879.8</v>
      </c>
      <c r="P153" s="257">
        <f t="shared" si="335"/>
        <v>19879.8</v>
      </c>
      <c r="Q153" s="257">
        <f t="shared" si="335"/>
        <v>0</v>
      </c>
      <c r="R153" s="257">
        <f t="shared" si="335"/>
        <v>0</v>
      </c>
      <c r="S153" s="257">
        <f t="shared" si="335"/>
        <v>0</v>
      </c>
      <c r="T153" s="257">
        <f t="shared" si="335"/>
        <v>0</v>
      </c>
      <c r="U153" s="257">
        <f t="shared" si="335"/>
        <v>0</v>
      </c>
      <c r="V153" s="257">
        <f t="shared" si="335"/>
        <v>0</v>
      </c>
      <c r="W153" s="257">
        <f t="shared" si="335"/>
        <v>0</v>
      </c>
      <c r="X153" s="257">
        <f t="shared" si="335"/>
        <v>0</v>
      </c>
      <c r="Y153" s="257">
        <f t="shared" si="335"/>
        <v>0</v>
      </c>
      <c r="Z153" s="257">
        <f t="shared" si="335"/>
        <v>0</v>
      </c>
      <c r="AA153" s="380">
        <f t="shared" si="335"/>
        <v>15</v>
      </c>
      <c r="AB153" s="257">
        <f t="shared" si="335"/>
        <v>1325.32</v>
      </c>
      <c r="AC153" s="257">
        <f t="shared" si="335"/>
        <v>0</v>
      </c>
      <c r="AD153" s="257">
        <f t="shared" si="335"/>
        <v>1325.32</v>
      </c>
      <c r="AE153" s="257">
        <f t="shared" si="335"/>
        <v>1325.32</v>
      </c>
      <c r="AF153" s="257">
        <f t="shared" si="335"/>
        <v>1325.32</v>
      </c>
      <c r="AG153" s="257">
        <f t="shared" si="335"/>
        <v>1325.32</v>
      </c>
      <c r="AH153" s="257">
        <f t="shared" si="335"/>
        <v>1325.32</v>
      </c>
      <c r="AI153" s="257">
        <f t="shared" si="335"/>
        <v>1325.32</v>
      </c>
      <c r="AJ153" s="257">
        <f t="shared" si="335"/>
        <v>1325.32</v>
      </c>
      <c r="AK153" s="257">
        <f t="shared" si="335"/>
        <v>1325.32</v>
      </c>
      <c r="AL153" s="257">
        <f t="shared" si="335"/>
        <v>1325.32</v>
      </c>
      <c r="AM153" s="257">
        <f t="shared" si="335"/>
        <v>1325.32</v>
      </c>
      <c r="AN153" s="257">
        <f t="shared" si="335"/>
        <v>13253.199999999999</v>
      </c>
      <c r="AO153" s="257">
        <f t="shared" si="335"/>
        <v>6626.6</v>
      </c>
    </row>
    <row r="154" spans="1:41" s="253" customFormat="1" x14ac:dyDescent="0.25">
      <c r="A154" s="242" t="str">
        <f t="shared" ref="A154:M154" si="336">A53</f>
        <v>Equipo P1</v>
      </c>
      <c r="B154" s="242">
        <f t="shared" si="336"/>
        <v>2</v>
      </c>
      <c r="C154" s="242">
        <f t="shared" si="336"/>
        <v>0</v>
      </c>
      <c r="D154" s="242">
        <f t="shared" si="336"/>
        <v>0</v>
      </c>
      <c r="E154" s="242">
        <f t="shared" si="336"/>
        <v>0</v>
      </c>
      <c r="F154" s="242">
        <f t="shared" si="336"/>
        <v>0</v>
      </c>
      <c r="G154" s="242">
        <f t="shared" si="336"/>
        <v>0</v>
      </c>
      <c r="H154" s="242">
        <f t="shared" si="336"/>
        <v>0</v>
      </c>
      <c r="I154" s="242">
        <f t="shared" si="336"/>
        <v>0</v>
      </c>
      <c r="J154" s="242">
        <f t="shared" si="336"/>
        <v>0</v>
      </c>
      <c r="K154" s="242">
        <f t="shared" si="336"/>
        <v>0</v>
      </c>
      <c r="L154" s="242">
        <f t="shared" si="336"/>
        <v>0</v>
      </c>
      <c r="M154" s="242">
        <f t="shared" si="336"/>
        <v>2</v>
      </c>
      <c r="N154" s="257">
        <f t="shared" ref="N154:AO154" si="337">N53</f>
        <v>3080</v>
      </c>
      <c r="O154" s="257">
        <f t="shared" si="337"/>
        <v>6160</v>
      </c>
      <c r="P154" s="257">
        <f t="shared" si="337"/>
        <v>6160</v>
      </c>
      <c r="Q154" s="257">
        <f t="shared" si="337"/>
        <v>0</v>
      </c>
      <c r="R154" s="257">
        <f t="shared" si="337"/>
        <v>0</v>
      </c>
      <c r="S154" s="257">
        <f t="shared" si="337"/>
        <v>0</v>
      </c>
      <c r="T154" s="257">
        <f t="shared" si="337"/>
        <v>0</v>
      </c>
      <c r="U154" s="257">
        <f t="shared" si="337"/>
        <v>0</v>
      </c>
      <c r="V154" s="257">
        <f t="shared" si="337"/>
        <v>0</v>
      </c>
      <c r="W154" s="257">
        <f t="shared" si="337"/>
        <v>0</v>
      </c>
      <c r="X154" s="257">
        <f t="shared" si="337"/>
        <v>0</v>
      </c>
      <c r="Y154" s="257">
        <f t="shared" si="337"/>
        <v>0</v>
      </c>
      <c r="Z154" s="257">
        <f t="shared" si="337"/>
        <v>0</v>
      </c>
      <c r="AA154" s="380">
        <f t="shared" si="337"/>
        <v>15</v>
      </c>
      <c r="AB154" s="257">
        <f t="shared" si="337"/>
        <v>410.66666666666669</v>
      </c>
      <c r="AC154" s="257">
        <f t="shared" si="337"/>
        <v>0</v>
      </c>
      <c r="AD154" s="257">
        <f t="shared" si="337"/>
        <v>410.66666666666669</v>
      </c>
      <c r="AE154" s="257">
        <f t="shared" si="337"/>
        <v>410.66666666666669</v>
      </c>
      <c r="AF154" s="257">
        <f t="shared" si="337"/>
        <v>410.66666666666669</v>
      </c>
      <c r="AG154" s="257">
        <f t="shared" si="337"/>
        <v>410.66666666666669</v>
      </c>
      <c r="AH154" s="257">
        <f t="shared" si="337"/>
        <v>410.66666666666669</v>
      </c>
      <c r="AI154" s="257">
        <f t="shared" si="337"/>
        <v>410.66666666666669</v>
      </c>
      <c r="AJ154" s="257">
        <f t="shared" si="337"/>
        <v>410.66666666666669</v>
      </c>
      <c r="AK154" s="257">
        <f t="shared" si="337"/>
        <v>410.66666666666669</v>
      </c>
      <c r="AL154" s="257">
        <f t="shared" si="337"/>
        <v>410.66666666666669</v>
      </c>
      <c r="AM154" s="257">
        <f t="shared" si="337"/>
        <v>410.66666666666669</v>
      </c>
      <c r="AN154" s="257">
        <f t="shared" si="337"/>
        <v>4106.6666666666661</v>
      </c>
      <c r="AO154" s="257">
        <f t="shared" si="337"/>
        <v>2053.3333333333339</v>
      </c>
    </row>
    <row r="155" spans="1:41" s="253" customFormat="1" x14ac:dyDescent="0.25">
      <c r="A155" s="242" t="str">
        <f t="shared" ref="A155:M155" si="338">A54</f>
        <v>Equipo P2</v>
      </c>
      <c r="B155" s="242">
        <f t="shared" si="338"/>
        <v>1</v>
      </c>
      <c r="C155" s="242">
        <f t="shared" si="338"/>
        <v>0</v>
      </c>
      <c r="D155" s="242">
        <f t="shared" si="338"/>
        <v>0</v>
      </c>
      <c r="E155" s="242">
        <f t="shared" si="338"/>
        <v>0</v>
      </c>
      <c r="F155" s="242">
        <f t="shared" si="338"/>
        <v>0</v>
      </c>
      <c r="G155" s="242">
        <f t="shared" si="338"/>
        <v>0</v>
      </c>
      <c r="H155" s="242">
        <f t="shared" si="338"/>
        <v>0</v>
      </c>
      <c r="I155" s="242">
        <f t="shared" si="338"/>
        <v>0</v>
      </c>
      <c r="J155" s="242">
        <f t="shared" si="338"/>
        <v>0</v>
      </c>
      <c r="K155" s="242">
        <f t="shared" si="338"/>
        <v>0</v>
      </c>
      <c r="L155" s="242">
        <f t="shared" si="338"/>
        <v>0</v>
      </c>
      <c r="M155" s="242">
        <f t="shared" si="338"/>
        <v>1</v>
      </c>
      <c r="N155" s="257">
        <f t="shared" ref="N155:AO155" si="339">N54</f>
        <v>4950</v>
      </c>
      <c r="O155" s="257">
        <f t="shared" si="339"/>
        <v>4950</v>
      </c>
      <c r="P155" s="257">
        <f t="shared" si="339"/>
        <v>4950</v>
      </c>
      <c r="Q155" s="257">
        <f t="shared" si="339"/>
        <v>0</v>
      </c>
      <c r="R155" s="257">
        <f t="shared" si="339"/>
        <v>0</v>
      </c>
      <c r="S155" s="257">
        <f t="shared" si="339"/>
        <v>0</v>
      </c>
      <c r="T155" s="257">
        <f t="shared" si="339"/>
        <v>0</v>
      </c>
      <c r="U155" s="257">
        <f t="shared" si="339"/>
        <v>0</v>
      </c>
      <c r="V155" s="257">
        <f t="shared" si="339"/>
        <v>0</v>
      </c>
      <c r="W155" s="257">
        <f t="shared" si="339"/>
        <v>0</v>
      </c>
      <c r="X155" s="257">
        <f t="shared" si="339"/>
        <v>0</v>
      </c>
      <c r="Y155" s="257">
        <f t="shared" si="339"/>
        <v>0</v>
      </c>
      <c r="Z155" s="257">
        <f t="shared" si="339"/>
        <v>0</v>
      </c>
      <c r="AA155" s="380">
        <f t="shared" si="339"/>
        <v>15</v>
      </c>
      <c r="AB155" s="257">
        <f t="shared" si="339"/>
        <v>330</v>
      </c>
      <c r="AC155" s="257">
        <f t="shared" si="339"/>
        <v>0</v>
      </c>
      <c r="AD155" s="257">
        <f t="shared" si="339"/>
        <v>330</v>
      </c>
      <c r="AE155" s="257">
        <f t="shared" si="339"/>
        <v>330</v>
      </c>
      <c r="AF155" s="257">
        <f t="shared" si="339"/>
        <v>330</v>
      </c>
      <c r="AG155" s="257">
        <f t="shared" si="339"/>
        <v>330</v>
      </c>
      <c r="AH155" s="257">
        <f t="shared" si="339"/>
        <v>330</v>
      </c>
      <c r="AI155" s="257">
        <f t="shared" si="339"/>
        <v>330</v>
      </c>
      <c r="AJ155" s="257">
        <f t="shared" si="339"/>
        <v>330</v>
      </c>
      <c r="AK155" s="257">
        <f t="shared" si="339"/>
        <v>330</v>
      </c>
      <c r="AL155" s="257">
        <f t="shared" si="339"/>
        <v>330</v>
      </c>
      <c r="AM155" s="257">
        <f t="shared" si="339"/>
        <v>330</v>
      </c>
      <c r="AN155" s="257">
        <f t="shared" si="339"/>
        <v>3300</v>
      </c>
      <c r="AO155" s="257">
        <f t="shared" si="339"/>
        <v>1650</v>
      </c>
    </row>
    <row r="156" spans="1:41" s="253" customFormat="1" x14ac:dyDescent="0.25">
      <c r="A156" s="242" t="str">
        <f t="shared" ref="A156:M156" si="340">A55</f>
        <v>Equipo P2</v>
      </c>
      <c r="B156" s="242">
        <f t="shared" si="340"/>
        <v>0</v>
      </c>
      <c r="C156" s="242">
        <f t="shared" si="340"/>
        <v>0</v>
      </c>
      <c r="D156" s="242">
        <f t="shared" si="340"/>
        <v>0</v>
      </c>
      <c r="E156" s="242">
        <f t="shared" si="340"/>
        <v>1</v>
      </c>
      <c r="F156" s="242">
        <f t="shared" si="340"/>
        <v>0</v>
      </c>
      <c r="G156" s="242">
        <f t="shared" si="340"/>
        <v>0</v>
      </c>
      <c r="H156" s="242">
        <f t="shared" si="340"/>
        <v>0</v>
      </c>
      <c r="I156" s="242">
        <f t="shared" si="340"/>
        <v>0</v>
      </c>
      <c r="J156" s="242">
        <f t="shared" si="340"/>
        <v>0</v>
      </c>
      <c r="K156" s="242">
        <f t="shared" si="340"/>
        <v>0</v>
      </c>
      <c r="L156" s="242">
        <f t="shared" si="340"/>
        <v>0</v>
      </c>
      <c r="M156" s="242">
        <f t="shared" si="340"/>
        <v>1</v>
      </c>
      <c r="N156" s="257">
        <f t="shared" ref="N156:AO156" si="341">N55</f>
        <v>4950</v>
      </c>
      <c r="O156" s="257">
        <f t="shared" si="341"/>
        <v>4950</v>
      </c>
      <c r="P156" s="257">
        <f t="shared" si="341"/>
        <v>0</v>
      </c>
      <c r="Q156" s="257">
        <f t="shared" si="341"/>
        <v>0</v>
      </c>
      <c r="R156" s="257">
        <f t="shared" si="341"/>
        <v>0</v>
      </c>
      <c r="S156" s="257">
        <f t="shared" si="341"/>
        <v>4950</v>
      </c>
      <c r="T156" s="257">
        <f t="shared" si="341"/>
        <v>0</v>
      </c>
      <c r="U156" s="257">
        <f t="shared" si="341"/>
        <v>0</v>
      </c>
      <c r="V156" s="257">
        <f t="shared" si="341"/>
        <v>0</v>
      </c>
      <c r="W156" s="257">
        <f t="shared" si="341"/>
        <v>0</v>
      </c>
      <c r="X156" s="257">
        <f t="shared" si="341"/>
        <v>0</v>
      </c>
      <c r="Y156" s="257">
        <f t="shared" si="341"/>
        <v>0</v>
      </c>
      <c r="Z156" s="257">
        <f t="shared" si="341"/>
        <v>0</v>
      </c>
      <c r="AA156" s="380">
        <f t="shared" si="341"/>
        <v>15</v>
      </c>
      <c r="AB156" s="257">
        <f t="shared" si="341"/>
        <v>330</v>
      </c>
      <c r="AC156" s="257">
        <f t="shared" si="341"/>
        <v>0</v>
      </c>
      <c r="AD156" s="257">
        <f t="shared" si="341"/>
        <v>0</v>
      </c>
      <c r="AE156" s="257">
        <f t="shared" si="341"/>
        <v>0</v>
      </c>
      <c r="AF156" s="257">
        <f t="shared" si="341"/>
        <v>0</v>
      </c>
      <c r="AG156" s="257">
        <f t="shared" si="341"/>
        <v>330</v>
      </c>
      <c r="AH156" s="257">
        <f t="shared" si="341"/>
        <v>330</v>
      </c>
      <c r="AI156" s="257">
        <f t="shared" si="341"/>
        <v>330</v>
      </c>
      <c r="AJ156" s="257">
        <f t="shared" si="341"/>
        <v>330</v>
      </c>
      <c r="AK156" s="257">
        <f t="shared" si="341"/>
        <v>330</v>
      </c>
      <c r="AL156" s="257">
        <f t="shared" si="341"/>
        <v>330</v>
      </c>
      <c r="AM156" s="257">
        <f t="shared" si="341"/>
        <v>330</v>
      </c>
      <c r="AN156" s="257">
        <f t="shared" si="341"/>
        <v>2310</v>
      </c>
      <c r="AO156" s="257">
        <f t="shared" si="341"/>
        <v>2640</v>
      </c>
    </row>
    <row r="157" spans="1:41" s="253" customFormat="1" x14ac:dyDescent="0.25">
      <c r="A157" s="242" t="str">
        <f t="shared" ref="A157:M157" si="342">A56</f>
        <v>Equipo P3</v>
      </c>
      <c r="B157" s="242">
        <f t="shared" si="342"/>
        <v>1</v>
      </c>
      <c r="C157" s="242">
        <f t="shared" si="342"/>
        <v>0</v>
      </c>
      <c r="D157" s="242">
        <f t="shared" si="342"/>
        <v>0</v>
      </c>
      <c r="E157" s="242">
        <f t="shared" si="342"/>
        <v>0</v>
      </c>
      <c r="F157" s="242">
        <f t="shared" si="342"/>
        <v>0</v>
      </c>
      <c r="G157" s="242">
        <f t="shared" si="342"/>
        <v>0</v>
      </c>
      <c r="H157" s="242">
        <f t="shared" si="342"/>
        <v>0</v>
      </c>
      <c r="I157" s="242">
        <f t="shared" si="342"/>
        <v>0</v>
      </c>
      <c r="J157" s="242">
        <f t="shared" si="342"/>
        <v>0</v>
      </c>
      <c r="K157" s="242">
        <f t="shared" si="342"/>
        <v>0</v>
      </c>
      <c r="L157" s="242">
        <f t="shared" si="342"/>
        <v>0</v>
      </c>
      <c r="M157" s="242">
        <f t="shared" si="342"/>
        <v>1</v>
      </c>
      <c r="N157" s="257">
        <f t="shared" ref="N157:AO157" si="343">N56</f>
        <v>12320</v>
      </c>
      <c r="O157" s="257">
        <f t="shared" si="343"/>
        <v>12320</v>
      </c>
      <c r="P157" s="257">
        <f t="shared" si="343"/>
        <v>12320</v>
      </c>
      <c r="Q157" s="257">
        <f t="shared" si="343"/>
        <v>0</v>
      </c>
      <c r="R157" s="257">
        <f t="shared" si="343"/>
        <v>0</v>
      </c>
      <c r="S157" s="257">
        <f t="shared" si="343"/>
        <v>0</v>
      </c>
      <c r="T157" s="257">
        <f t="shared" si="343"/>
        <v>0</v>
      </c>
      <c r="U157" s="257">
        <f t="shared" si="343"/>
        <v>0</v>
      </c>
      <c r="V157" s="257">
        <f t="shared" si="343"/>
        <v>0</v>
      </c>
      <c r="W157" s="257">
        <f t="shared" si="343"/>
        <v>0</v>
      </c>
      <c r="X157" s="257">
        <f t="shared" si="343"/>
        <v>0</v>
      </c>
      <c r="Y157" s="257">
        <f t="shared" si="343"/>
        <v>0</v>
      </c>
      <c r="Z157" s="257">
        <f t="shared" si="343"/>
        <v>0</v>
      </c>
      <c r="AA157" s="380">
        <f t="shared" si="343"/>
        <v>15</v>
      </c>
      <c r="AB157" s="257">
        <f t="shared" si="343"/>
        <v>821.33333333333337</v>
      </c>
      <c r="AC157" s="257">
        <f t="shared" si="343"/>
        <v>0</v>
      </c>
      <c r="AD157" s="257">
        <f t="shared" si="343"/>
        <v>821.33333333333337</v>
      </c>
      <c r="AE157" s="257">
        <f t="shared" si="343"/>
        <v>821.33333333333337</v>
      </c>
      <c r="AF157" s="257">
        <f t="shared" si="343"/>
        <v>821.33333333333337</v>
      </c>
      <c r="AG157" s="257">
        <f t="shared" si="343"/>
        <v>821.33333333333337</v>
      </c>
      <c r="AH157" s="257">
        <f t="shared" si="343"/>
        <v>821.33333333333337</v>
      </c>
      <c r="AI157" s="257">
        <f t="shared" si="343"/>
        <v>821.33333333333337</v>
      </c>
      <c r="AJ157" s="257">
        <f t="shared" si="343"/>
        <v>821.33333333333337</v>
      </c>
      <c r="AK157" s="257">
        <f t="shared" si="343"/>
        <v>821.33333333333337</v>
      </c>
      <c r="AL157" s="257">
        <f t="shared" si="343"/>
        <v>821.33333333333337</v>
      </c>
      <c r="AM157" s="257">
        <f t="shared" si="343"/>
        <v>821.33333333333337</v>
      </c>
      <c r="AN157" s="257">
        <f t="shared" si="343"/>
        <v>8213.3333333333321</v>
      </c>
      <c r="AO157" s="257">
        <f t="shared" si="343"/>
        <v>4106.6666666666679</v>
      </c>
    </row>
    <row r="158" spans="1:41" s="253" customFormat="1" x14ac:dyDescent="0.25">
      <c r="A158" s="242" t="str">
        <f t="shared" ref="A158:M158" si="344">A57</f>
        <v>Equipo P3</v>
      </c>
      <c r="B158" s="242">
        <f t="shared" si="344"/>
        <v>0</v>
      </c>
      <c r="C158" s="242">
        <f t="shared" si="344"/>
        <v>0</v>
      </c>
      <c r="D158" s="242">
        <f t="shared" si="344"/>
        <v>0</v>
      </c>
      <c r="E158" s="242">
        <f t="shared" si="344"/>
        <v>1</v>
      </c>
      <c r="F158" s="242">
        <f t="shared" si="344"/>
        <v>0</v>
      </c>
      <c r="G158" s="242">
        <f t="shared" si="344"/>
        <v>0</v>
      </c>
      <c r="H158" s="242">
        <f t="shared" si="344"/>
        <v>0</v>
      </c>
      <c r="I158" s="242">
        <f t="shared" si="344"/>
        <v>0</v>
      </c>
      <c r="J158" s="242">
        <f t="shared" si="344"/>
        <v>0</v>
      </c>
      <c r="K158" s="242">
        <f t="shared" si="344"/>
        <v>0</v>
      </c>
      <c r="L158" s="242">
        <f t="shared" si="344"/>
        <v>0</v>
      </c>
      <c r="M158" s="242">
        <f t="shared" si="344"/>
        <v>1</v>
      </c>
      <c r="N158" s="257">
        <f t="shared" ref="N158:AO158" si="345">N57</f>
        <v>12320</v>
      </c>
      <c r="O158" s="257">
        <f t="shared" si="345"/>
        <v>12320</v>
      </c>
      <c r="P158" s="257">
        <f t="shared" si="345"/>
        <v>0</v>
      </c>
      <c r="Q158" s="257">
        <f t="shared" si="345"/>
        <v>0</v>
      </c>
      <c r="R158" s="257">
        <f t="shared" si="345"/>
        <v>0</v>
      </c>
      <c r="S158" s="257">
        <f t="shared" si="345"/>
        <v>12320</v>
      </c>
      <c r="T158" s="257">
        <f t="shared" si="345"/>
        <v>0</v>
      </c>
      <c r="U158" s="257">
        <f t="shared" si="345"/>
        <v>0</v>
      </c>
      <c r="V158" s="257">
        <f t="shared" si="345"/>
        <v>0</v>
      </c>
      <c r="W158" s="257">
        <f t="shared" si="345"/>
        <v>0</v>
      </c>
      <c r="X158" s="257">
        <f t="shared" si="345"/>
        <v>0</v>
      </c>
      <c r="Y158" s="257">
        <f t="shared" si="345"/>
        <v>0</v>
      </c>
      <c r="Z158" s="257">
        <f t="shared" si="345"/>
        <v>0</v>
      </c>
      <c r="AA158" s="380">
        <f t="shared" si="345"/>
        <v>15</v>
      </c>
      <c r="AB158" s="257">
        <f t="shared" si="345"/>
        <v>821.33333333333337</v>
      </c>
      <c r="AC158" s="257">
        <f t="shared" si="345"/>
        <v>0</v>
      </c>
      <c r="AD158" s="257">
        <f t="shared" si="345"/>
        <v>0</v>
      </c>
      <c r="AE158" s="257">
        <f t="shared" si="345"/>
        <v>0</v>
      </c>
      <c r="AF158" s="257">
        <f t="shared" si="345"/>
        <v>0</v>
      </c>
      <c r="AG158" s="257">
        <f t="shared" si="345"/>
        <v>821.33333333333337</v>
      </c>
      <c r="AH158" s="257">
        <f t="shared" si="345"/>
        <v>821.33333333333337</v>
      </c>
      <c r="AI158" s="257">
        <f t="shared" si="345"/>
        <v>821.33333333333337</v>
      </c>
      <c r="AJ158" s="257">
        <f t="shared" si="345"/>
        <v>821.33333333333337</v>
      </c>
      <c r="AK158" s="257">
        <f t="shared" si="345"/>
        <v>821.33333333333337</v>
      </c>
      <c r="AL158" s="257">
        <f t="shared" si="345"/>
        <v>821.33333333333337</v>
      </c>
      <c r="AM158" s="257">
        <f t="shared" si="345"/>
        <v>821.33333333333337</v>
      </c>
      <c r="AN158" s="257">
        <f t="shared" si="345"/>
        <v>5749.333333333333</v>
      </c>
      <c r="AO158" s="257">
        <f t="shared" si="345"/>
        <v>6570.666666666667</v>
      </c>
    </row>
    <row r="159" spans="1:41" s="253" customFormat="1" x14ac:dyDescent="0.25">
      <c r="A159" s="242" t="str">
        <f t="shared" ref="A159:M159" si="346">A58</f>
        <v>Equipo P4</v>
      </c>
      <c r="B159" s="242">
        <f t="shared" si="346"/>
        <v>1</v>
      </c>
      <c r="C159" s="242">
        <f t="shared" si="346"/>
        <v>0</v>
      </c>
      <c r="D159" s="242">
        <f t="shared" si="346"/>
        <v>0</v>
      </c>
      <c r="E159" s="242">
        <f t="shared" si="346"/>
        <v>0</v>
      </c>
      <c r="F159" s="242">
        <f t="shared" si="346"/>
        <v>0</v>
      </c>
      <c r="G159" s="242">
        <f t="shared" si="346"/>
        <v>0</v>
      </c>
      <c r="H159" s="242">
        <f t="shared" si="346"/>
        <v>0</v>
      </c>
      <c r="I159" s="242">
        <f t="shared" si="346"/>
        <v>0</v>
      </c>
      <c r="J159" s="242">
        <f t="shared" si="346"/>
        <v>0</v>
      </c>
      <c r="K159" s="242">
        <f t="shared" si="346"/>
        <v>0</v>
      </c>
      <c r="L159" s="242">
        <f t="shared" si="346"/>
        <v>0</v>
      </c>
      <c r="M159" s="242">
        <f t="shared" si="346"/>
        <v>1</v>
      </c>
      <c r="N159" s="257">
        <f t="shared" ref="N159:AO159" si="347">N58</f>
        <v>39875</v>
      </c>
      <c r="O159" s="257">
        <f t="shared" si="347"/>
        <v>39875</v>
      </c>
      <c r="P159" s="257">
        <f t="shared" si="347"/>
        <v>39875</v>
      </c>
      <c r="Q159" s="257">
        <f t="shared" si="347"/>
        <v>0</v>
      </c>
      <c r="R159" s="257">
        <f t="shared" si="347"/>
        <v>0</v>
      </c>
      <c r="S159" s="257">
        <f t="shared" si="347"/>
        <v>0</v>
      </c>
      <c r="T159" s="257">
        <f t="shared" si="347"/>
        <v>0</v>
      </c>
      <c r="U159" s="257">
        <f t="shared" si="347"/>
        <v>0</v>
      </c>
      <c r="V159" s="257">
        <f t="shared" si="347"/>
        <v>0</v>
      </c>
      <c r="W159" s="257">
        <f t="shared" si="347"/>
        <v>0</v>
      </c>
      <c r="X159" s="257">
        <f t="shared" si="347"/>
        <v>0</v>
      </c>
      <c r="Y159" s="257">
        <f t="shared" si="347"/>
        <v>0</v>
      </c>
      <c r="Z159" s="257">
        <f t="shared" si="347"/>
        <v>0</v>
      </c>
      <c r="AA159" s="380">
        <f t="shared" si="347"/>
        <v>15</v>
      </c>
      <c r="AB159" s="257">
        <f t="shared" si="347"/>
        <v>2658.3333333333335</v>
      </c>
      <c r="AC159" s="257">
        <f t="shared" si="347"/>
        <v>0</v>
      </c>
      <c r="AD159" s="257">
        <f t="shared" si="347"/>
        <v>2658.3333333333335</v>
      </c>
      <c r="AE159" s="257">
        <f t="shared" si="347"/>
        <v>2658.3333333333335</v>
      </c>
      <c r="AF159" s="257">
        <f t="shared" si="347"/>
        <v>2658.3333333333335</v>
      </c>
      <c r="AG159" s="257">
        <f t="shared" si="347"/>
        <v>2658.3333333333335</v>
      </c>
      <c r="AH159" s="257">
        <f t="shared" si="347"/>
        <v>2658.3333333333335</v>
      </c>
      <c r="AI159" s="257">
        <f t="shared" si="347"/>
        <v>2658.3333333333335</v>
      </c>
      <c r="AJ159" s="257">
        <f t="shared" si="347"/>
        <v>2658.3333333333335</v>
      </c>
      <c r="AK159" s="257">
        <f t="shared" si="347"/>
        <v>2658.3333333333335</v>
      </c>
      <c r="AL159" s="257">
        <f t="shared" si="347"/>
        <v>2658.3333333333335</v>
      </c>
      <c r="AM159" s="257">
        <f t="shared" si="347"/>
        <v>2658.3333333333335</v>
      </c>
      <c r="AN159" s="257">
        <f t="shared" si="347"/>
        <v>26583.333333333332</v>
      </c>
      <c r="AO159" s="257">
        <f t="shared" si="347"/>
        <v>13291.666666666668</v>
      </c>
    </row>
    <row r="160" spans="1:41" s="253" customFormat="1" x14ac:dyDescent="0.25">
      <c r="A160" s="242" t="str">
        <f t="shared" ref="A160:M160" si="348">A59</f>
        <v>Equipo P4</v>
      </c>
      <c r="B160" s="242">
        <f t="shared" si="348"/>
        <v>0</v>
      </c>
      <c r="C160" s="242">
        <f t="shared" si="348"/>
        <v>0</v>
      </c>
      <c r="D160" s="242">
        <f t="shared" si="348"/>
        <v>0</v>
      </c>
      <c r="E160" s="242">
        <f t="shared" si="348"/>
        <v>0</v>
      </c>
      <c r="F160" s="242">
        <f t="shared" si="348"/>
        <v>0</v>
      </c>
      <c r="G160" s="242">
        <f t="shared" si="348"/>
        <v>1</v>
      </c>
      <c r="H160" s="242">
        <f t="shared" si="348"/>
        <v>0</v>
      </c>
      <c r="I160" s="242">
        <f t="shared" si="348"/>
        <v>0</v>
      </c>
      <c r="J160" s="242">
        <f t="shared" si="348"/>
        <v>0</v>
      </c>
      <c r="K160" s="242">
        <f t="shared" si="348"/>
        <v>0</v>
      </c>
      <c r="L160" s="242">
        <f t="shared" si="348"/>
        <v>0</v>
      </c>
      <c r="M160" s="242">
        <f t="shared" si="348"/>
        <v>1</v>
      </c>
      <c r="N160" s="257">
        <f t="shared" ref="N160:AO160" si="349">N59</f>
        <v>39875</v>
      </c>
      <c r="O160" s="257">
        <f t="shared" si="349"/>
        <v>39875</v>
      </c>
      <c r="P160" s="257">
        <f t="shared" si="349"/>
        <v>0</v>
      </c>
      <c r="Q160" s="257">
        <f t="shared" si="349"/>
        <v>0</v>
      </c>
      <c r="R160" s="257">
        <f t="shared" si="349"/>
        <v>0</v>
      </c>
      <c r="S160" s="257">
        <f t="shared" si="349"/>
        <v>0</v>
      </c>
      <c r="T160" s="257">
        <f t="shared" si="349"/>
        <v>0</v>
      </c>
      <c r="U160" s="257">
        <f t="shared" si="349"/>
        <v>39875</v>
      </c>
      <c r="V160" s="257">
        <f t="shared" si="349"/>
        <v>0</v>
      </c>
      <c r="W160" s="257">
        <f t="shared" si="349"/>
        <v>0</v>
      </c>
      <c r="X160" s="257">
        <f t="shared" si="349"/>
        <v>0</v>
      </c>
      <c r="Y160" s="257">
        <f t="shared" si="349"/>
        <v>0</v>
      </c>
      <c r="Z160" s="257">
        <f t="shared" si="349"/>
        <v>0</v>
      </c>
      <c r="AA160" s="380">
        <f t="shared" si="349"/>
        <v>15</v>
      </c>
      <c r="AB160" s="257">
        <f t="shared" si="349"/>
        <v>2658.3333333333335</v>
      </c>
      <c r="AC160" s="257">
        <f t="shared" si="349"/>
        <v>0</v>
      </c>
      <c r="AD160" s="257">
        <f t="shared" si="349"/>
        <v>0</v>
      </c>
      <c r="AE160" s="257">
        <f t="shared" si="349"/>
        <v>0</v>
      </c>
      <c r="AF160" s="257">
        <f t="shared" si="349"/>
        <v>0</v>
      </c>
      <c r="AG160" s="257">
        <f t="shared" si="349"/>
        <v>0</v>
      </c>
      <c r="AH160" s="257">
        <f t="shared" si="349"/>
        <v>0</v>
      </c>
      <c r="AI160" s="257">
        <f t="shared" si="349"/>
        <v>2658.3333333333335</v>
      </c>
      <c r="AJ160" s="257">
        <f t="shared" si="349"/>
        <v>2658.3333333333335</v>
      </c>
      <c r="AK160" s="257">
        <f t="shared" si="349"/>
        <v>2658.3333333333335</v>
      </c>
      <c r="AL160" s="257">
        <f t="shared" si="349"/>
        <v>2658.3333333333335</v>
      </c>
      <c r="AM160" s="257">
        <f t="shared" si="349"/>
        <v>2658.3333333333335</v>
      </c>
      <c r="AN160" s="257">
        <f t="shared" si="349"/>
        <v>13291.666666666668</v>
      </c>
      <c r="AO160" s="257">
        <f t="shared" si="349"/>
        <v>26583.333333333332</v>
      </c>
    </row>
    <row r="161" spans="1:41" s="253" customFormat="1" x14ac:dyDescent="0.25">
      <c r="A161" s="242" t="str">
        <f t="shared" ref="A161:M161" si="350">A60</f>
        <v>Equipo P5</v>
      </c>
      <c r="B161" s="242">
        <f t="shared" si="350"/>
        <v>2</v>
      </c>
      <c r="C161" s="242">
        <f t="shared" si="350"/>
        <v>0</v>
      </c>
      <c r="D161" s="242">
        <f t="shared" si="350"/>
        <v>0</v>
      </c>
      <c r="E161" s="242">
        <f t="shared" si="350"/>
        <v>0</v>
      </c>
      <c r="F161" s="242">
        <f t="shared" si="350"/>
        <v>0</v>
      </c>
      <c r="G161" s="242">
        <f t="shared" si="350"/>
        <v>0</v>
      </c>
      <c r="H161" s="242">
        <f t="shared" si="350"/>
        <v>0</v>
      </c>
      <c r="I161" s="242">
        <f t="shared" si="350"/>
        <v>0</v>
      </c>
      <c r="J161" s="242">
        <f t="shared" si="350"/>
        <v>0</v>
      </c>
      <c r="K161" s="242">
        <f t="shared" si="350"/>
        <v>0</v>
      </c>
      <c r="L161" s="242">
        <f t="shared" si="350"/>
        <v>0</v>
      </c>
      <c r="M161" s="242">
        <f t="shared" si="350"/>
        <v>2</v>
      </c>
      <c r="N161" s="257">
        <f t="shared" ref="N161:AO161" si="351">N60</f>
        <v>76725</v>
      </c>
      <c r="O161" s="257">
        <f t="shared" si="351"/>
        <v>153450</v>
      </c>
      <c r="P161" s="257">
        <f t="shared" si="351"/>
        <v>153450</v>
      </c>
      <c r="Q161" s="257">
        <f t="shared" si="351"/>
        <v>0</v>
      </c>
      <c r="R161" s="257">
        <f t="shared" si="351"/>
        <v>0</v>
      </c>
      <c r="S161" s="257">
        <f t="shared" si="351"/>
        <v>0</v>
      </c>
      <c r="T161" s="257">
        <f t="shared" si="351"/>
        <v>0</v>
      </c>
      <c r="U161" s="257">
        <f t="shared" si="351"/>
        <v>0</v>
      </c>
      <c r="V161" s="257">
        <f t="shared" si="351"/>
        <v>0</v>
      </c>
      <c r="W161" s="257">
        <f t="shared" si="351"/>
        <v>0</v>
      </c>
      <c r="X161" s="257">
        <f t="shared" si="351"/>
        <v>0</v>
      </c>
      <c r="Y161" s="257">
        <f t="shared" si="351"/>
        <v>0</v>
      </c>
      <c r="Z161" s="257">
        <f t="shared" si="351"/>
        <v>0</v>
      </c>
      <c r="AA161" s="380">
        <f t="shared" si="351"/>
        <v>15</v>
      </c>
      <c r="AB161" s="257">
        <f t="shared" si="351"/>
        <v>10230</v>
      </c>
      <c r="AC161" s="257">
        <f t="shared" si="351"/>
        <v>0</v>
      </c>
      <c r="AD161" s="257">
        <f t="shared" si="351"/>
        <v>10230</v>
      </c>
      <c r="AE161" s="257">
        <f t="shared" si="351"/>
        <v>10230</v>
      </c>
      <c r="AF161" s="257">
        <f t="shared" si="351"/>
        <v>10230</v>
      </c>
      <c r="AG161" s="257">
        <f t="shared" si="351"/>
        <v>10230</v>
      </c>
      <c r="AH161" s="257">
        <f t="shared" si="351"/>
        <v>10230</v>
      </c>
      <c r="AI161" s="257">
        <f t="shared" si="351"/>
        <v>10230</v>
      </c>
      <c r="AJ161" s="257">
        <f t="shared" si="351"/>
        <v>10230</v>
      </c>
      <c r="AK161" s="257">
        <f t="shared" si="351"/>
        <v>10230</v>
      </c>
      <c r="AL161" s="257">
        <f t="shared" si="351"/>
        <v>10230</v>
      </c>
      <c r="AM161" s="257">
        <f t="shared" si="351"/>
        <v>10230</v>
      </c>
      <c r="AN161" s="257">
        <f t="shared" si="351"/>
        <v>102300</v>
      </c>
      <c r="AO161" s="257">
        <f t="shared" si="351"/>
        <v>51150</v>
      </c>
    </row>
    <row r="162" spans="1:41" s="253" customFormat="1" x14ac:dyDescent="0.25">
      <c r="A162" s="242" t="str">
        <f t="shared" ref="A162:M162" si="352">A61</f>
        <v>Terreno</v>
      </c>
      <c r="B162" s="242">
        <f t="shared" si="352"/>
        <v>1</v>
      </c>
      <c r="C162" s="242">
        <f t="shared" si="352"/>
        <v>0</v>
      </c>
      <c r="D162" s="242">
        <f t="shared" si="352"/>
        <v>0</v>
      </c>
      <c r="E162" s="242">
        <f t="shared" si="352"/>
        <v>0</v>
      </c>
      <c r="F162" s="242">
        <f t="shared" si="352"/>
        <v>0</v>
      </c>
      <c r="G162" s="242">
        <f t="shared" si="352"/>
        <v>0</v>
      </c>
      <c r="H162" s="242">
        <f t="shared" si="352"/>
        <v>0</v>
      </c>
      <c r="I162" s="242">
        <f t="shared" si="352"/>
        <v>0</v>
      </c>
      <c r="J162" s="242">
        <f t="shared" si="352"/>
        <v>0</v>
      </c>
      <c r="K162" s="242">
        <f t="shared" si="352"/>
        <v>0</v>
      </c>
      <c r="L162" s="242">
        <f t="shared" si="352"/>
        <v>0</v>
      </c>
      <c r="M162" s="242">
        <f t="shared" si="352"/>
        <v>1</v>
      </c>
      <c r="N162" s="257"/>
      <c r="O162" s="257">
        <f t="shared" ref="O162:AO162" si="353">O61</f>
        <v>170000</v>
      </c>
      <c r="P162" s="257">
        <f t="shared" si="353"/>
        <v>170000</v>
      </c>
      <c r="Q162" s="257">
        <f t="shared" si="353"/>
        <v>0</v>
      </c>
      <c r="R162" s="257">
        <f t="shared" si="353"/>
        <v>0</v>
      </c>
      <c r="S162" s="257">
        <f t="shared" si="353"/>
        <v>0</v>
      </c>
      <c r="T162" s="257">
        <f t="shared" si="353"/>
        <v>0</v>
      </c>
      <c r="U162" s="257">
        <f t="shared" si="353"/>
        <v>0</v>
      </c>
      <c r="V162" s="257">
        <f t="shared" si="353"/>
        <v>0</v>
      </c>
      <c r="W162" s="257">
        <f t="shared" si="353"/>
        <v>0</v>
      </c>
      <c r="X162" s="257">
        <f t="shared" si="353"/>
        <v>0</v>
      </c>
      <c r="Y162" s="257">
        <f t="shared" si="353"/>
        <v>0</v>
      </c>
      <c r="Z162" s="257">
        <f t="shared" si="353"/>
        <v>0</v>
      </c>
      <c r="AA162" s="380">
        <f t="shared" si="353"/>
        <v>0</v>
      </c>
      <c r="AB162" s="257">
        <f t="shared" si="353"/>
        <v>0</v>
      </c>
      <c r="AC162" s="257">
        <f t="shared" si="353"/>
        <v>0</v>
      </c>
      <c r="AD162" s="257">
        <f t="shared" si="353"/>
        <v>0</v>
      </c>
      <c r="AE162" s="257">
        <f t="shared" si="353"/>
        <v>0</v>
      </c>
      <c r="AF162" s="257">
        <f t="shared" si="353"/>
        <v>0</v>
      </c>
      <c r="AG162" s="257">
        <f t="shared" si="353"/>
        <v>0</v>
      </c>
      <c r="AH162" s="257">
        <f t="shared" si="353"/>
        <v>0</v>
      </c>
      <c r="AI162" s="257">
        <f t="shared" si="353"/>
        <v>0</v>
      </c>
      <c r="AJ162" s="257">
        <f t="shared" si="353"/>
        <v>0</v>
      </c>
      <c r="AK162" s="257">
        <f t="shared" si="353"/>
        <v>0</v>
      </c>
      <c r="AL162" s="257">
        <f t="shared" si="353"/>
        <v>0</v>
      </c>
      <c r="AM162" s="257">
        <f t="shared" si="353"/>
        <v>0</v>
      </c>
      <c r="AN162" s="257">
        <f t="shared" si="353"/>
        <v>0</v>
      </c>
      <c r="AO162" s="257">
        <f t="shared" si="353"/>
        <v>170000</v>
      </c>
    </row>
    <row r="163" spans="1:41" s="253" customFormat="1" x14ac:dyDescent="0.25">
      <c r="A163" s="242" t="str">
        <f t="shared" ref="A163:M163" si="354">A62</f>
        <v>Obras especiales sobre el terreno</v>
      </c>
      <c r="B163" s="242">
        <f t="shared" si="354"/>
        <v>1</v>
      </c>
      <c r="C163" s="242">
        <f t="shared" si="354"/>
        <v>0</v>
      </c>
      <c r="D163" s="242">
        <f t="shared" si="354"/>
        <v>0</v>
      </c>
      <c r="E163" s="242">
        <f t="shared" si="354"/>
        <v>0</v>
      </c>
      <c r="F163" s="242">
        <f t="shared" si="354"/>
        <v>0</v>
      </c>
      <c r="G163" s="242">
        <f t="shared" si="354"/>
        <v>0</v>
      </c>
      <c r="H163" s="242">
        <f t="shared" si="354"/>
        <v>0</v>
      </c>
      <c r="I163" s="242">
        <f t="shared" si="354"/>
        <v>0</v>
      </c>
      <c r="J163" s="242">
        <f t="shared" si="354"/>
        <v>0</v>
      </c>
      <c r="K163" s="242">
        <f t="shared" si="354"/>
        <v>0</v>
      </c>
      <c r="L163" s="242">
        <f t="shared" si="354"/>
        <v>0</v>
      </c>
      <c r="M163" s="242">
        <f t="shared" si="354"/>
        <v>1</v>
      </c>
      <c r="N163" s="257"/>
      <c r="O163" s="257">
        <f t="shared" ref="O163:AO163" si="355">O62</f>
        <v>400000</v>
      </c>
      <c r="P163" s="257">
        <f t="shared" si="355"/>
        <v>400000</v>
      </c>
      <c r="Q163" s="257">
        <f t="shared" si="355"/>
        <v>0</v>
      </c>
      <c r="R163" s="257">
        <f t="shared" si="355"/>
        <v>0</v>
      </c>
      <c r="S163" s="257">
        <f t="shared" si="355"/>
        <v>0</v>
      </c>
      <c r="T163" s="257">
        <f t="shared" si="355"/>
        <v>0</v>
      </c>
      <c r="U163" s="257">
        <f t="shared" si="355"/>
        <v>0</v>
      </c>
      <c r="V163" s="257">
        <f t="shared" si="355"/>
        <v>0</v>
      </c>
      <c r="W163" s="257">
        <f t="shared" si="355"/>
        <v>0</v>
      </c>
      <c r="X163" s="257">
        <f t="shared" si="355"/>
        <v>0</v>
      </c>
      <c r="Y163" s="257">
        <f t="shared" si="355"/>
        <v>0</v>
      </c>
      <c r="Z163" s="257">
        <f t="shared" si="355"/>
        <v>0</v>
      </c>
      <c r="AA163" s="380">
        <f t="shared" si="355"/>
        <v>30</v>
      </c>
      <c r="AB163" s="257">
        <f t="shared" si="355"/>
        <v>13333.333333333334</v>
      </c>
      <c r="AC163" s="257">
        <f t="shared" si="355"/>
        <v>0</v>
      </c>
      <c r="AD163" s="257">
        <f t="shared" si="355"/>
        <v>13333.333333333334</v>
      </c>
      <c r="AE163" s="257">
        <f t="shared" si="355"/>
        <v>13333.333333333334</v>
      </c>
      <c r="AF163" s="257">
        <f t="shared" si="355"/>
        <v>13333.333333333334</v>
      </c>
      <c r="AG163" s="257">
        <f t="shared" si="355"/>
        <v>13333.333333333334</v>
      </c>
      <c r="AH163" s="257">
        <f t="shared" si="355"/>
        <v>13333.333333333334</v>
      </c>
      <c r="AI163" s="257">
        <f t="shared" si="355"/>
        <v>13333.333333333334</v>
      </c>
      <c r="AJ163" s="257">
        <f t="shared" si="355"/>
        <v>13333.333333333334</v>
      </c>
      <c r="AK163" s="257">
        <f t="shared" si="355"/>
        <v>13333.333333333334</v>
      </c>
      <c r="AL163" s="257">
        <f t="shared" si="355"/>
        <v>13333.333333333334</v>
      </c>
      <c r="AM163" s="257">
        <f t="shared" si="355"/>
        <v>13333.333333333334</v>
      </c>
      <c r="AN163" s="257">
        <f t="shared" si="355"/>
        <v>133333.33333333331</v>
      </c>
      <c r="AO163" s="257">
        <f t="shared" si="355"/>
        <v>266666.66666666669</v>
      </c>
    </row>
    <row r="164" spans="1:41" s="253" customFormat="1" x14ac:dyDescent="0.25">
      <c r="A164" s="242" t="str">
        <f t="shared" ref="A164:M164" si="356">A63</f>
        <v>Obra Civil (incl. Instalaciones Provisorias)</v>
      </c>
      <c r="B164" s="242">
        <f t="shared" si="356"/>
        <v>1</v>
      </c>
      <c r="C164" s="242">
        <f t="shared" si="356"/>
        <v>0</v>
      </c>
      <c r="D164" s="242">
        <f t="shared" si="356"/>
        <v>0</v>
      </c>
      <c r="E164" s="242">
        <f t="shared" si="356"/>
        <v>0</v>
      </c>
      <c r="F164" s="242">
        <f t="shared" si="356"/>
        <v>0</v>
      </c>
      <c r="G164" s="242">
        <f t="shared" si="356"/>
        <v>0</v>
      </c>
      <c r="H164" s="242">
        <f t="shared" si="356"/>
        <v>0</v>
      </c>
      <c r="I164" s="242">
        <f t="shared" si="356"/>
        <v>0</v>
      </c>
      <c r="J164" s="242">
        <f t="shared" si="356"/>
        <v>0</v>
      </c>
      <c r="K164" s="242">
        <f t="shared" si="356"/>
        <v>0</v>
      </c>
      <c r="L164" s="242">
        <f t="shared" si="356"/>
        <v>0</v>
      </c>
      <c r="M164" s="242">
        <f t="shared" si="356"/>
        <v>1</v>
      </c>
      <c r="N164" s="257"/>
      <c r="O164" s="257">
        <f t="shared" ref="O164:AO164" si="357">O63</f>
        <v>1300000</v>
      </c>
      <c r="P164" s="257">
        <f t="shared" si="357"/>
        <v>1300000</v>
      </c>
      <c r="Q164" s="257">
        <f t="shared" si="357"/>
        <v>0</v>
      </c>
      <c r="R164" s="257">
        <f t="shared" si="357"/>
        <v>0</v>
      </c>
      <c r="S164" s="257">
        <f t="shared" si="357"/>
        <v>0</v>
      </c>
      <c r="T164" s="257">
        <f t="shared" si="357"/>
        <v>0</v>
      </c>
      <c r="U164" s="257">
        <f t="shared" si="357"/>
        <v>0</v>
      </c>
      <c r="V164" s="257">
        <f t="shared" si="357"/>
        <v>0</v>
      </c>
      <c r="W164" s="257">
        <f t="shared" si="357"/>
        <v>0</v>
      </c>
      <c r="X164" s="257">
        <f t="shared" si="357"/>
        <v>0</v>
      </c>
      <c r="Y164" s="257">
        <f t="shared" si="357"/>
        <v>0</v>
      </c>
      <c r="Z164" s="257">
        <f t="shared" si="357"/>
        <v>0</v>
      </c>
      <c r="AA164" s="380">
        <f t="shared" si="357"/>
        <v>30</v>
      </c>
      <c r="AB164" s="257">
        <f t="shared" si="357"/>
        <v>43333.333333333336</v>
      </c>
      <c r="AC164" s="257">
        <f t="shared" si="357"/>
        <v>0</v>
      </c>
      <c r="AD164" s="257">
        <f t="shared" si="357"/>
        <v>43333.333333333336</v>
      </c>
      <c r="AE164" s="257">
        <f t="shared" si="357"/>
        <v>43333.333333333336</v>
      </c>
      <c r="AF164" s="257">
        <f t="shared" si="357"/>
        <v>43333.333333333336</v>
      </c>
      <c r="AG164" s="257">
        <f t="shared" si="357"/>
        <v>43333.333333333336</v>
      </c>
      <c r="AH164" s="257">
        <f t="shared" si="357"/>
        <v>43333.333333333336</v>
      </c>
      <c r="AI164" s="257">
        <f t="shared" si="357"/>
        <v>43333.333333333336</v>
      </c>
      <c r="AJ164" s="257">
        <f t="shared" si="357"/>
        <v>43333.333333333336</v>
      </c>
      <c r="AK164" s="257">
        <f t="shared" si="357"/>
        <v>43333.333333333336</v>
      </c>
      <c r="AL164" s="257">
        <f t="shared" si="357"/>
        <v>43333.333333333336</v>
      </c>
      <c r="AM164" s="257">
        <f t="shared" si="357"/>
        <v>43333.333333333336</v>
      </c>
      <c r="AN164" s="257">
        <f t="shared" si="357"/>
        <v>433333.33333333331</v>
      </c>
      <c r="AO164" s="257">
        <f t="shared" si="357"/>
        <v>866666.66666666674</v>
      </c>
    </row>
    <row r="165" spans="1:41" s="253" customFormat="1" x14ac:dyDescent="0.25">
      <c r="A165" s="242" t="str">
        <f t="shared" ref="A165:M165" si="358">A64</f>
        <v>Instalaciones de Servicios</v>
      </c>
      <c r="B165" s="242">
        <f t="shared" si="358"/>
        <v>1</v>
      </c>
      <c r="C165" s="242">
        <f t="shared" si="358"/>
        <v>0</v>
      </c>
      <c r="D165" s="242">
        <f t="shared" si="358"/>
        <v>0</v>
      </c>
      <c r="E165" s="242">
        <f t="shared" si="358"/>
        <v>0</v>
      </c>
      <c r="F165" s="242">
        <f t="shared" si="358"/>
        <v>0</v>
      </c>
      <c r="G165" s="242">
        <f t="shared" si="358"/>
        <v>0</v>
      </c>
      <c r="H165" s="242">
        <f t="shared" si="358"/>
        <v>0</v>
      </c>
      <c r="I165" s="242">
        <f t="shared" si="358"/>
        <v>0</v>
      </c>
      <c r="J165" s="242">
        <f t="shared" si="358"/>
        <v>0</v>
      </c>
      <c r="K165" s="242">
        <f t="shared" si="358"/>
        <v>0</v>
      </c>
      <c r="L165" s="242">
        <f t="shared" si="358"/>
        <v>0</v>
      </c>
      <c r="M165" s="242">
        <f t="shared" si="358"/>
        <v>1</v>
      </c>
      <c r="N165" s="257"/>
      <c r="O165" s="257">
        <f t="shared" ref="O165:AO165" si="359">O64</f>
        <v>1900000</v>
      </c>
      <c r="P165" s="257">
        <f t="shared" si="359"/>
        <v>1900000</v>
      </c>
      <c r="Q165" s="257">
        <f t="shared" si="359"/>
        <v>0</v>
      </c>
      <c r="R165" s="257">
        <f t="shared" si="359"/>
        <v>0</v>
      </c>
      <c r="S165" s="257">
        <f t="shared" si="359"/>
        <v>0</v>
      </c>
      <c r="T165" s="257">
        <f t="shared" si="359"/>
        <v>0</v>
      </c>
      <c r="U165" s="257">
        <f t="shared" si="359"/>
        <v>0</v>
      </c>
      <c r="V165" s="257">
        <f t="shared" si="359"/>
        <v>0</v>
      </c>
      <c r="W165" s="257">
        <f t="shared" si="359"/>
        <v>0</v>
      </c>
      <c r="X165" s="257">
        <f t="shared" si="359"/>
        <v>0</v>
      </c>
      <c r="Y165" s="257">
        <f t="shared" si="359"/>
        <v>0</v>
      </c>
      <c r="Z165" s="257">
        <f t="shared" si="359"/>
        <v>0</v>
      </c>
      <c r="AA165" s="380">
        <f t="shared" si="359"/>
        <v>15</v>
      </c>
      <c r="AB165" s="257">
        <f t="shared" si="359"/>
        <v>126666.66666666667</v>
      </c>
      <c r="AC165" s="257">
        <f t="shared" si="359"/>
        <v>0</v>
      </c>
      <c r="AD165" s="257">
        <f t="shared" si="359"/>
        <v>126666.66666666667</v>
      </c>
      <c r="AE165" s="257">
        <f t="shared" si="359"/>
        <v>126666.66666666667</v>
      </c>
      <c r="AF165" s="257">
        <f t="shared" si="359"/>
        <v>126666.66666666667</v>
      </c>
      <c r="AG165" s="257">
        <f t="shared" si="359"/>
        <v>126666.66666666667</v>
      </c>
      <c r="AH165" s="257">
        <f t="shared" si="359"/>
        <v>126666.66666666667</v>
      </c>
      <c r="AI165" s="257">
        <f t="shared" si="359"/>
        <v>126666.66666666667</v>
      </c>
      <c r="AJ165" s="257">
        <f t="shared" si="359"/>
        <v>126666.66666666667</v>
      </c>
      <c r="AK165" s="257">
        <f t="shared" si="359"/>
        <v>126666.66666666667</v>
      </c>
      <c r="AL165" s="257">
        <f t="shared" si="359"/>
        <v>126666.66666666667</v>
      </c>
      <c r="AM165" s="257">
        <f t="shared" si="359"/>
        <v>126666.66666666667</v>
      </c>
      <c r="AN165" s="257">
        <f t="shared" si="359"/>
        <v>1266666.6666666667</v>
      </c>
      <c r="AO165" s="257">
        <f t="shared" si="359"/>
        <v>633333.33333333326</v>
      </c>
    </row>
    <row r="166" spans="1:41" s="253" customFormat="1" x14ac:dyDescent="0.25">
      <c r="A166" s="242" t="str">
        <f t="shared" ref="A166:M166" si="360">A65</f>
        <v>Instrumentación y Control</v>
      </c>
      <c r="B166" s="242">
        <f t="shared" si="360"/>
        <v>1</v>
      </c>
      <c r="C166" s="242">
        <f t="shared" si="360"/>
        <v>0</v>
      </c>
      <c r="D166" s="242">
        <f t="shared" si="360"/>
        <v>0</v>
      </c>
      <c r="E166" s="242">
        <f t="shared" si="360"/>
        <v>0</v>
      </c>
      <c r="F166" s="242">
        <f t="shared" si="360"/>
        <v>0</v>
      </c>
      <c r="G166" s="242">
        <f t="shared" si="360"/>
        <v>0</v>
      </c>
      <c r="H166" s="242">
        <f t="shared" si="360"/>
        <v>0</v>
      </c>
      <c r="I166" s="242">
        <f t="shared" si="360"/>
        <v>0</v>
      </c>
      <c r="J166" s="242">
        <f t="shared" si="360"/>
        <v>0</v>
      </c>
      <c r="K166" s="242">
        <f t="shared" si="360"/>
        <v>0</v>
      </c>
      <c r="L166" s="242">
        <f t="shared" si="360"/>
        <v>0</v>
      </c>
      <c r="M166" s="242">
        <f t="shared" si="360"/>
        <v>1</v>
      </c>
      <c r="N166" s="257"/>
      <c r="O166" s="257">
        <f t="shared" ref="O166:AO166" si="361">O65</f>
        <v>750000</v>
      </c>
      <c r="P166" s="257">
        <f t="shared" si="361"/>
        <v>750000</v>
      </c>
      <c r="Q166" s="257">
        <f t="shared" si="361"/>
        <v>0</v>
      </c>
      <c r="R166" s="257">
        <f t="shared" si="361"/>
        <v>0</v>
      </c>
      <c r="S166" s="257">
        <f t="shared" si="361"/>
        <v>0</v>
      </c>
      <c r="T166" s="257">
        <f t="shared" si="361"/>
        <v>0</v>
      </c>
      <c r="U166" s="257">
        <f t="shared" si="361"/>
        <v>0</v>
      </c>
      <c r="V166" s="257">
        <f t="shared" si="361"/>
        <v>0</v>
      </c>
      <c r="W166" s="257">
        <f t="shared" si="361"/>
        <v>0</v>
      </c>
      <c r="X166" s="257">
        <f t="shared" si="361"/>
        <v>0</v>
      </c>
      <c r="Y166" s="257">
        <f t="shared" si="361"/>
        <v>0</v>
      </c>
      <c r="Z166" s="257">
        <f t="shared" si="361"/>
        <v>0</v>
      </c>
      <c r="AA166" s="380">
        <f t="shared" si="361"/>
        <v>15</v>
      </c>
      <c r="AB166" s="257">
        <f t="shared" si="361"/>
        <v>50000</v>
      </c>
      <c r="AC166" s="257">
        <f t="shared" si="361"/>
        <v>0</v>
      </c>
      <c r="AD166" s="257">
        <f t="shared" si="361"/>
        <v>50000</v>
      </c>
      <c r="AE166" s="257">
        <f t="shared" si="361"/>
        <v>50000</v>
      </c>
      <c r="AF166" s="257">
        <f t="shared" si="361"/>
        <v>50000</v>
      </c>
      <c r="AG166" s="257">
        <f t="shared" si="361"/>
        <v>50000</v>
      </c>
      <c r="AH166" s="257">
        <f t="shared" si="361"/>
        <v>50000</v>
      </c>
      <c r="AI166" s="257">
        <f t="shared" si="361"/>
        <v>50000</v>
      </c>
      <c r="AJ166" s="257">
        <f t="shared" si="361"/>
        <v>50000</v>
      </c>
      <c r="AK166" s="257">
        <f t="shared" si="361"/>
        <v>50000</v>
      </c>
      <c r="AL166" s="257">
        <f t="shared" si="361"/>
        <v>50000</v>
      </c>
      <c r="AM166" s="257">
        <f t="shared" si="361"/>
        <v>50000</v>
      </c>
      <c r="AN166" s="257">
        <f t="shared" si="361"/>
        <v>500000</v>
      </c>
      <c r="AO166" s="257">
        <f t="shared" si="361"/>
        <v>250000</v>
      </c>
    </row>
    <row r="167" spans="1:41" s="253" customFormat="1" x14ac:dyDescent="0.25">
      <c r="A167" s="242" t="str">
        <f t="shared" ref="A167:M167" si="362">A66</f>
        <v>Cañerías</v>
      </c>
      <c r="B167" s="242">
        <f t="shared" si="362"/>
        <v>1</v>
      </c>
      <c r="C167" s="242">
        <f t="shared" si="362"/>
        <v>0</v>
      </c>
      <c r="D167" s="242">
        <f t="shared" si="362"/>
        <v>0</v>
      </c>
      <c r="E167" s="242">
        <f t="shared" si="362"/>
        <v>0</v>
      </c>
      <c r="F167" s="242">
        <f t="shared" si="362"/>
        <v>0</v>
      </c>
      <c r="G167" s="242">
        <f t="shared" si="362"/>
        <v>0</v>
      </c>
      <c r="H167" s="242">
        <f t="shared" si="362"/>
        <v>0</v>
      </c>
      <c r="I167" s="242">
        <f t="shared" si="362"/>
        <v>0</v>
      </c>
      <c r="J167" s="242">
        <f t="shared" si="362"/>
        <v>0</v>
      </c>
      <c r="K167" s="242">
        <f t="shared" si="362"/>
        <v>0</v>
      </c>
      <c r="L167" s="242">
        <f t="shared" si="362"/>
        <v>0</v>
      </c>
      <c r="M167" s="242">
        <f t="shared" si="362"/>
        <v>1</v>
      </c>
      <c r="N167" s="257"/>
      <c r="O167" s="257">
        <f t="shared" ref="O167:AO167" si="363">O66</f>
        <v>2000000</v>
      </c>
      <c r="P167" s="257">
        <f t="shared" si="363"/>
        <v>2000000</v>
      </c>
      <c r="Q167" s="257">
        <f t="shared" si="363"/>
        <v>0</v>
      </c>
      <c r="R167" s="257">
        <f t="shared" si="363"/>
        <v>0</v>
      </c>
      <c r="S167" s="257">
        <f t="shared" si="363"/>
        <v>0</v>
      </c>
      <c r="T167" s="257">
        <f t="shared" si="363"/>
        <v>0</v>
      </c>
      <c r="U167" s="257">
        <f t="shared" si="363"/>
        <v>0</v>
      </c>
      <c r="V167" s="257">
        <f t="shared" si="363"/>
        <v>0</v>
      </c>
      <c r="W167" s="257">
        <f t="shared" si="363"/>
        <v>0</v>
      </c>
      <c r="X167" s="257">
        <f t="shared" si="363"/>
        <v>0</v>
      </c>
      <c r="Y167" s="257">
        <f t="shared" si="363"/>
        <v>0</v>
      </c>
      <c r="Z167" s="257">
        <f t="shared" si="363"/>
        <v>0</v>
      </c>
      <c r="AA167" s="380">
        <f t="shared" si="363"/>
        <v>15</v>
      </c>
      <c r="AB167" s="257">
        <f t="shared" si="363"/>
        <v>133333.33333333334</v>
      </c>
      <c r="AC167" s="257">
        <f t="shared" si="363"/>
        <v>0</v>
      </c>
      <c r="AD167" s="257">
        <f t="shared" si="363"/>
        <v>133333.33333333334</v>
      </c>
      <c r="AE167" s="257">
        <f t="shared" si="363"/>
        <v>133333.33333333334</v>
      </c>
      <c r="AF167" s="257">
        <f t="shared" si="363"/>
        <v>133333.33333333334</v>
      </c>
      <c r="AG167" s="257">
        <f t="shared" si="363"/>
        <v>133333.33333333334</v>
      </c>
      <c r="AH167" s="257">
        <f t="shared" si="363"/>
        <v>133333.33333333334</v>
      </c>
      <c r="AI167" s="257">
        <f t="shared" si="363"/>
        <v>133333.33333333334</v>
      </c>
      <c r="AJ167" s="257">
        <f t="shared" si="363"/>
        <v>133333.33333333334</v>
      </c>
      <c r="AK167" s="257">
        <f t="shared" si="363"/>
        <v>133333.33333333334</v>
      </c>
      <c r="AL167" s="257">
        <f t="shared" si="363"/>
        <v>133333.33333333334</v>
      </c>
      <c r="AM167" s="257">
        <f t="shared" si="363"/>
        <v>133333.33333333334</v>
      </c>
      <c r="AN167" s="257">
        <f t="shared" si="363"/>
        <v>1333333.3333333333</v>
      </c>
      <c r="AO167" s="257">
        <f t="shared" si="363"/>
        <v>666666.66666666674</v>
      </c>
    </row>
    <row r="168" spans="1:41" s="253" customFormat="1" x14ac:dyDescent="0.25">
      <c r="A168" s="242" t="str">
        <f t="shared" ref="A168:M168" si="364">A67</f>
        <v>Instalaciones Eléctricas</v>
      </c>
      <c r="B168" s="242">
        <f t="shared" si="364"/>
        <v>1</v>
      </c>
      <c r="C168" s="242">
        <f t="shared" si="364"/>
        <v>0</v>
      </c>
      <c r="D168" s="242">
        <f t="shared" si="364"/>
        <v>0</v>
      </c>
      <c r="E168" s="242">
        <f t="shared" si="364"/>
        <v>0</v>
      </c>
      <c r="F168" s="242">
        <f t="shared" si="364"/>
        <v>0</v>
      </c>
      <c r="G168" s="242">
        <f t="shared" si="364"/>
        <v>0</v>
      </c>
      <c r="H168" s="242">
        <f t="shared" si="364"/>
        <v>0</v>
      </c>
      <c r="I168" s="242">
        <f t="shared" si="364"/>
        <v>0</v>
      </c>
      <c r="J168" s="242">
        <f t="shared" si="364"/>
        <v>0</v>
      </c>
      <c r="K168" s="242">
        <f t="shared" si="364"/>
        <v>0</v>
      </c>
      <c r="L168" s="242">
        <f t="shared" si="364"/>
        <v>0</v>
      </c>
      <c r="M168" s="242">
        <f t="shared" si="364"/>
        <v>1</v>
      </c>
      <c r="N168" s="257"/>
      <c r="O168" s="257">
        <f t="shared" ref="O168:AO168" si="365">O67</f>
        <v>500000</v>
      </c>
      <c r="P168" s="257">
        <f t="shared" si="365"/>
        <v>500000</v>
      </c>
      <c r="Q168" s="257">
        <f t="shared" si="365"/>
        <v>0</v>
      </c>
      <c r="R168" s="257">
        <f t="shared" si="365"/>
        <v>0</v>
      </c>
      <c r="S168" s="257">
        <f t="shared" si="365"/>
        <v>0</v>
      </c>
      <c r="T168" s="257">
        <f t="shared" si="365"/>
        <v>0</v>
      </c>
      <c r="U168" s="257">
        <f t="shared" si="365"/>
        <v>0</v>
      </c>
      <c r="V168" s="257">
        <f t="shared" si="365"/>
        <v>0</v>
      </c>
      <c r="W168" s="257">
        <f t="shared" si="365"/>
        <v>0</v>
      </c>
      <c r="X168" s="257">
        <f t="shared" si="365"/>
        <v>0</v>
      </c>
      <c r="Y168" s="257">
        <f t="shared" si="365"/>
        <v>0</v>
      </c>
      <c r="Z168" s="257">
        <f t="shared" si="365"/>
        <v>0</v>
      </c>
      <c r="AA168" s="380">
        <f t="shared" si="365"/>
        <v>15</v>
      </c>
      <c r="AB168" s="257">
        <f t="shared" si="365"/>
        <v>33333.333333333336</v>
      </c>
      <c r="AC168" s="257">
        <f t="shared" si="365"/>
        <v>0</v>
      </c>
      <c r="AD168" s="257">
        <f t="shared" si="365"/>
        <v>33333.333333333336</v>
      </c>
      <c r="AE168" s="257">
        <f t="shared" si="365"/>
        <v>33333.333333333336</v>
      </c>
      <c r="AF168" s="257">
        <f t="shared" si="365"/>
        <v>33333.333333333336</v>
      </c>
      <c r="AG168" s="257">
        <f t="shared" si="365"/>
        <v>33333.333333333336</v>
      </c>
      <c r="AH168" s="257">
        <f t="shared" si="365"/>
        <v>33333.333333333336</v>
      </c>
      <c r="AI168" s="257">
        <f t="shared" si="365"/>
        <v>33333.333333333336</v>
      </c>
      <c r="AJ168" s="257">
        <f t="shared" si="365"/>
        <v>33333.333333333336</v>
      </c>
      <c r="AK168" s="257">
        <f t="shared" si="365"/>
        <v>33333.333333333336</v>
      </c>
      <c r="AL168" s="257">
        <f t="shared" si="365"/>
        <v>33333.333333333336</v>
      </c>
      <c r="AM168" s="257">
        <f t="shared" si="365"/>
        <v>33333.333333333336</v>
      </c>
      <c r="AN168" s="257">
        <f t="shared" si="365"/>
        <v>333333.33333333331</v>
      </c>
      <c r="AO168" s="257">
        <f t="shared" si="365"/>
        <v>166666.66666666669</v>
      </c>
    </row>
    <row r="169" spans="1:41" s="253" customFormat="1" x14ac:dyDescent="0.25">
      <c r="A169" s="242" t="str">
        <f t="shared" ref="A169:M169" si="366">A68</f>
        <v>Aislaciones</v>
      </c>
      <c r="B169" s="242">
        <f t="shared" si="366"/>
        <v>1</v>
      </c>
      <c r="C169" s="242">
        <f t="shared" si="366"/>
        <v>0</v>
      </c>
      <c r="D169" s="242">
        <f t="shared" si="366"/>
        <v>0</v>
      </c>
      <c r="E169" s="242">
        <f t="shared" si="366"/>
        <v>0</v>
      </c>
      <c r="F169" s="242">
        <f t="shared" si="366"/>
        <v>0</v>
      </c>
      <c r="G169" s="242">
        <f t="shared" si="366"/>
        <v>0</v>
      </c>
      <c r="H169" s="242">
        <f t="shared" si="366"/>
        <v>0</v>
      </c>
      <c r="I169" s="242">
        <f t="shared" si="366"/>
        <v>0</v>
      </c>
      <c r="J169" s="242">
        <f t="shared" si="366"/>
        <v>0</v>
      </c>
      <c r="K169" s="242">
        <f t="shared" si="366"/>
        <v>0</v>
      </c>
      <c r="L169" s="242">
        <f t="shared" si="366"/>
        <v>0</v>
      </c>
      <c r="M169" s="242">
        <f t="shared" si="366"/>
        <v>1</v>
      </c>
      <c r="N169" s="257"/>
      <c r="O169" s="257">
        <f t="shared" ref="O169:AO169" si="367">O68</f>
        <v>240000</v>
      </c>
      <c r="P169" s="257">
        <f t="shared" si="367"/>
        <v>240000</v>
      </c>
      <c r="Q169" s="257">
        <f t="shared" si="367"/>
        <v>0</v>
      </c>
      <c r="R169" s="257">
        <f t="shared" si="367"/>
        <v>0</v>
      </c>
      <c r="S169" s="257">
        <f t="shared" si="367"/>
        <v>0</v>
      </c>
      <c r="T169" s="257">
        <f t="shared" si="367"/>
        <v>0</v>
      </c>
      <c r="U169" s="257">
        <f t="shared" si="367"/>
        <v>0</v>
      </c>
      <c r="V169" s="257">
        <f t="shared" si="367"/>
        <v>0</v>
      </c>
      <c r="W169" s="257">
        <f t="shared" si="367"/>
        <v>0</v>
      </c>
      <c r="X169" s="257">
        <f t="shared" si="367"/>
        <v>0</v>
      </c>
      <c r="Y169" s="257">
        <f t="shared" si="367"/>
        <v>0</v>
      </c>
      <c r="Z169" s="257">
        <f t="shared" si="367"/>
        <v>0</v>
      </c>
      <c r="AA169" s="380">
        <f t="shared" si="367"/>
        <v>15</v>
      </c>
      <c r="AB169" s="257">
        <f t="shared" si="367"/>
        <v>16000</v>
      </c>
      <c r="AC169" s="257">
        <f t="shared" si="367"/>
        <v>0</v>
      </c>
      <c r="AD169" s="257">
        <f t="shared" si="367"/>
        <v>16000</v>
      </c>
      <c r="AE169" s="257">
        <f t="shared" si="367"/>
        <v>16000</v>
      </c>
      <c r="AF169" s="257">
        <f t="shared" si="367"/>
        <v>16000</v>
      </c>
      <c r="AG169" s="257">
        <f t="shared" si="367"/>
        <v>16000</v>
      </c>
      <c r="AH169" s="257">
        <f t="shared" si="367"/>
        <v>16000</v>
      </c>
      <c r="AI169" s="257">
        <f t="shared" si="367"/>
        <v>16000</v>
      </c>
      <c r="AJ169" s="257">
        <f t="shared" si="367"/>
        <v>16000</v>
      </c>
      <c r="AK169" s="257">
        <f t="shared" si="367"/>
        <v>16000</v>
      </c>
      <c r="AL169" s="257">
        <f t="shared" si="367"/>
        <v>16000</v>
      </c>
      <c r="AM169" s="257">
        <f t="shared" si="367"/>
        <v>16000</v>
      </c>
      <c r="AN169" s="257">
        <f t="shared" si="367"/>
        <v>160000</v>
      </c>
      <c r="AO169" s="257">
        <f t="shared" si="367"/>
        <v>80000</v>
      </c>
    </row>
    <row r="170" spans="1:41" s="253" customFormat="1" x14ac:dyDescent="0.25">
      <c r="A170" s="242" t="str">
        <f t="shared" ref="A170:M170" si="368">A69</f>
        <v>Instalaciones externas</v>
      </c>
      <c r="B170" s="242">
        <f t="shared" si="368"/>
        <v>1</v>
      </c>
      <c r="C170" s="242">
        <f t="shared" si="368"/>
        <v>0</v>
      </c>
      <c r="D170" s="242">
        <f t="shared" si="368"/>
        <v>0</v>
      </c>
      <c r="E170" s="242">
        <f t="shared" si="368"/>
        <v>0</v>
      </c>
      <c r="F170" s="242">
        <f t="shared" si="368"/>
        <v>0</v>
      </c>
      <c r="G170" s="242">
        <f t="shared" si="368"/>
        <v>0</v>
      </c>
      <c r="H170" s="242">
        <f t="shared" si="368"/>
        <v>0</v>
      </c>
      <c r="I170" s="242">
        <f t="shared" si="368"/>
        <v>0</v>
      </c>
      <c r="J170" s="242">
        <f t="shared" si="368"/>
        <v>0</v>
      </c>
      <c r="K170" s="242">
        <f t="shared" si="368"/>
        <v>0</v>
      </c>
      <c r="L170" s="242">
        <f t="shared" si="368"/>
        <v>0</v>
      </c>
      <c r="M170" s="242">
        <f t="shared" si="368"/>
        <v>1</v>
      </c>
      <c r="N170" s="257"/>
      <c r="O170" s="257">
        <f t="shared" ref="O170:AO170" si="369">O69</f>
        <v>20000</v>
      </c>
      <c r="P170" s="257">
        <f t="shared" si="369"/>
        <v>20000</v>
      </c>
      <c r="Q170" s="257">
        <f t="shared" si="369"/>
        <v>0</v>
      </c>
      <c r="R170" s="257">
        <f t="shared" si="369"/>
        <v>0</v>
      </c>
      <c r="S170" s="257">
        <f t="shared" si="369"/>
        <v>0</v>
      </c>
      <c r="T170" s="257">
        <f t="shared" si="369"/>
        <v>0</v>
      </c>
      <c r="U170" s="257">
        <f t="shared" si="369"/>
        <v>0</v>
      </c>
      <c r="V170" s="257">
        <f t="shared" si="369"/>
        <v>0</v>
      </c>
      <c r="W170" s="257">
        <f t="shared" si="369"/>
        <v>0</v>
      </c>
      <c r="X170" s="257">
        <f t="shared" si="369"/>
        <v>0</v>
      </c>
      <c r="Y170" s="257">
        <f t="shared" si="369"/>
        <v>0</v>
      </c>
      <c r="Z170" s="257">
        <f t="shared" si="369"/>
        <v>0</v>
      </c>
      <c r="AA170" s="380">
        <f t="shared" si="369"/>
        <v>10</v>
      </c>
      <c r="AB170" s="257">
        <f t="shared" si="369"/>
        <v>2000</v>
      </c>
      <c r="AC170" s="257">
        <f t="shared" si="369"/>
        <v>0</v>
      </c>
      <c r="AD170" s="257">
        <f t="shared" si="369"/>
        <v>2000</v>
      </c>
      <c r="AE170" s="257">
        <f t="shared" si="369"/>
        <v>2000</v>
      </c>
      <c r="AF170" s="257">
        <f t="shared" si="369"/>
        <v>2000</v>
      </c>
      <c r="AG170" s="257">
        <f t="shared" si="369"/>
        <v>2000</v>
      </c>
      <c r="AH170" s="257">
        <f t="shared" si="369"/>
        <v>2000</v>
      </c>
      <c r="AI170" s="257">
        <f t="shared" si="369"/>
        <v>2000</v>
      </c>
      <c r="AJ170" s="257">
        <f t="shared" si="369"/>
        <v>2000</v>
      </c>
      <c r="AK170" s="257">
        <f t="shared" si="369"/>
        <v>2000</v>
      </c>
      <c r="AL170" s="257">
        <f t="shared" si="369"/>
        <v>2000</v>
      </c>
      <c r="AM170" s="257">
        <f t="shared" si="369"/>
        <v>2000</v>
      </c>
      <c r="AN170" s="257">
        <f t="shared" si="369"/>
        <v>20000</v>
      </c>
      <c r="AO170" s="257">
        <f t="shared" si="369"/>
        <v>0</v>
      </c>
    </row>
    <row r="171" spans="1:41" s="253" customFormat="1" x14ac:dyDescent="0.25">
      <c r="A171" s="242" t="str">
        <f t="shared" ref="A171:M171" si="370">A70</f>
        <v>Muebles y equipos de oficina, vestuario, comedor</v>
      </c>
      <c r="B171" s="242">
        <f t="shared" si="370"/>
        <v>1</v>
      </c>
      <c r="C171" s="242">
        <f t="shared" si="370"/>
        <v>0</v>
      </c>
      <c r="D171" s="242">
        <f t="shared" si="370"/>
        <v>0</v>
      </c>
      <c r="E171" s="242">
        <f t="shared" si="370"/>
        <v>0</v>
      </c>
      <c r="F171" s="242">
        <f t="shared" si="370"/>
        <v>0</v>
      </c>
      <c r="G171" s="242">
        <f t="shared" si="370"/>
        <v>0</v>
      </c>
      <c r="H171" s="242">
        <f t="shared" si="370"/>
        <v>0</v>
      </c>
      <c r="I171" s="242">
        <f t="shared" si="370"/>
        <v>0</v>
      </c>
      <c r="J171" s="242">
        <f t="shared" si="370"/>
        <v>0</v>
      </c>
      <c r="K171" s="242">
        <f t="shared" si="370"/>
        <v>0</v>
      </c>
      <c r="L171" s="242">
        <f t="shared" si="370"/>
        <v>0</v>
      </c>
      <c r="M171" s="242">
        <f t="shared" si="370"/>
        <v>1</v>
      </c>
      <c r="N171" s="257"/>
      <c r="O171" s="257">
        <f t="shared" ref="O171:AO171" si="371">O70</f>
        <v>50000</v>
      </c>
      <c r="P171" s="257">
        <f t="shared" si="371"/>
        <v>50000</v>
      </c>
      <c r="Q171" s="257">
        <f t="shared" si="371"/>
        <v>0</v>
      </c>
      <c r="R171" s="257">
        <f t="shared" si="371"/>
        <v>0</v>
      </c>
      <c r="S171" s="257">
        <f t="shared" si="371"/>
        <v>0</v>
      </c>
      <c r="T171" s="257">
        <f t="shared" si="371"/>
        <v>0</v>
      </c>
      <c r="U171" s="257">
        <f t="shared" si="371"/>
        <v>0</v>
      </c>
      <c r="V171" s="257">
        <f t="shared" si="371"/>
        <v>0</v>
      </c>
      <c r="W171" s="257">
        <f t="shared" si="371"/>
        <v>0</v>
      </c>
      <c r="X171" s="257">
        <f t="shared" si="371"/>
        <v>0</v>
      </c>
      <c r="Y171" s="257">
        <f t="shared" si="371"/>
        <v>0</v>
      </c>
      <c r="Z171" s="257">
        <f t="shared" si="371"/>
        <v>0</v>
      </c>
      <c r="AA171" s="380">
        <f t="shared" si="371"/>
        <v>5</v>
      </c>
      <c r="AB171" s="257">
        <f t="shared" si="371"/>
        <v>10000</v>
      </c>
      <c r="AC171" s="257">
        <f t="shared" si="371"/>
        <v>0</v>
      </c>
      <c r="AD171" s="257">
        <f t="shared" si="371"/>
        <v>10000</v>
      </c>
      <c r="AE171" s="257">
        <f t="shared" si="371"/>
        <v>10000</v>
      </c>
      <c r="AF171" s="257">
        <f t="shared" si="371"/>
        <v>10000</v>
      </c>
      <c r="AG171" s="257">
        <f t="shared" si="371"/>
        <v>10000</v>
      </c>
      <c r="AH171" s="257">
        <f t="shared" si="371"/>
        <v>10000</v>
      </c>
      <c r="AI171" s="257">
        <f t="shared" si="371"/>
        <v>0</v>
      </c>
      <c r="AJ171" s="257">
        <f t="shared" si="371"/>
        <v>0</v>
      </c>
      <c r="AK171" s="257">
        <f t="shared" si="371"/>
        <v>0</v>
      </c>
      <c r="AL171" s="257">
        <f t="shared" si="371"/>
        <v>0</v>
      </c>
      <c r="AM171" s="257">
        <f t="shared" si="371"/>
        <v>0</v>
      </c>
      <c r="AN171" s="257">
        <f t="shared" si="371"/>
        <v>50000</v>
      </c>
      <c r="AO171" s="257">
        <f t="shared" si="371"/>
        <v>0</v>
      </c>
    </row>
    <row r="172" spans="1:41" s="253" customFormat="1" x14ac:dyDescent="0.25">
      <c r="A172" s="242" t="str">
        <f t="shared" ref="A172:M172" si="372">A71</f>
        <v>Muebles y equipos de oficina, vestuario, comedor</v>
      </c>
      <c r="B172" s="242">
        <f t="shared" si="372"/>
        <v>0</v>
      </c>
      <c r="C172" s="242">
        <f t="shared" si="372"/>
        <v>0</v>
      </c>
      <c r="D172" s="242">
        <f t="shared" si="372"/>
        <v>0</v>
      </c>
      <c r="E172" s="242">
        <f t="shared" si="372"/>
        <v>0</v>
      </c>
      <c r="F172" s="242">
        <f t="shared" si="372"/>
        <v>0</v>
      </c>
      <c r="G172" s="242">
        <f t="shared" si="372"/>
        <v>0</v>
      </c>
      <c r="H172" s="242">
        <f t="shared" si="372"/>
        <v>1</v>
      </c>
      <c r="I172" s="242">
        <f t="shared" si="372"/>
        <v>0</v>
      </c>
      <c r="J172" s="242">
        <f t="shared" si="372"/>
        <v>0</v>
      </c>
      <c r="K172" s="242">
        <f t="shared" si="372"/>
        <v>0</v>
      </c>
      <c r="L172" s="242">
        <f t="shared" si="372"/>
        <v>0</v>
      </c>
      <c r="M172" s="242">
        <f t="shared" si="372"/>
        <v>1</v>
      </c>
      <c r="N172" s="257"/>
      <c r="O172" s="257">
        <f t="shared" ref="O172:AO172" si="373">O71</f>
        <v>50000</v>
      </c>
      <c r="P172" s="257">
        <f t="shared" si="373"/>
        <v>0</v>
      </c>
      <c r="Q172" s="257">
        <f t="shared" si="373"/>
        <v>0</v>
      </c>
      <c r="R172" s="257">
        <f t="shared" si="373"/>
        <v>0</v>
      </c>
      <c r="S172" s="257">
        <f t="shared" si="373"/>
        <v>0</v>
      </c>
      <c r="T172" s="257">
        <f t="shared" si="373"/>
        <v>0</v>
      </c>
      <c r="U172" s="257">
        <f t="shared" si="373"/>
        <v>0</v>
      </c>
      <c r="V172" s="257">
        <f t="shared" si="373"/>
        <v>50000</v>
      </c>
      <c r="W172" s="257">
        <f t="shared" si="373"/>
        <v>0</v>
      </c>
      <c r="X172" s="257">
        <f t="shared" si="373"/>
        <v>0</v>
      </c>
      <c r="Y172" s="257">
        <f t="shared" si="373"/>
        <v>0</v>
      </c>
      <c r="Z172" s="257">
        <f t="shared" si="373"/>
        <v>0</v>
      </c>
      <c r="AA172" s="380">
        <f t="shared" si="373"/>
        <v>5</v>
      </c>
      <c r="AB172" s="257">
        <f t="shared" si="373"/>
        <v>10000</v>
      </c>
      <c r="AC172" s="257">
        <f t="shared" si="373"/>
        <v>0</v>
      </c>
      <c r="AD172" s="257">
        <f t="shared" si="373"/>
        <v>0</v>
      </c>
      <c r="AE172" s="257">
        <f t="shared" si="373"/>
        <v>0</v>
      </c>
      <c r="AF172" s="257">
        <f t="shared" si="373"/>
        <v>0</v>
      </c>
      <c r="AG172" s="257">
        <f t="shared" si="373"/>
        <v>0</v>
      </c>
      <c r="AH172" s="257">
        <f t="shared" si="373"/>
        <v>0</v>
      </c>
      <c r="AI172" s="257">
        <f t="shared" si="373"/>
        <v>10000</v>
      </c>
      <c r="AJ172" s="257">
        <f t="shared" si="373"/>
        <v>10000</v>
      </c>
      <c r="AK172" s="257">
        <f t="shared" si="373"/>
        <v>10000</v>
      </c>
      <c r="AL172" s="257">
        <f t="shared" si="373"/>
        <v>10000</v>
      </c>
      <c r="AM172" s="257">
        <f t="shared" si="373"/>
        <v>10000</v>
      </c>
      <c r="AN172" s="257">
        <f t="shared" si="373"/>
        <v>50000</v>
      </c>
      <c r="AO172" s="257">
        <f t="shared" si="373"/>
        <v>0</v>
      </c>
    </row>
    <row r="173" spans="1:41" s="253" customFormat="1" x14ac:dyDescent="0.25">
      <c r="A173" s="242" t="str">
        <f t="shared" ref="A173:M173" si="374">A72</f>
        <v>Vehículos</v>
      </c>
      <c r="B173" s="242">
        <f t="shared" si="374"/>
        <v>1</v>
      </c>
      <c r="C173" s="242">
        <f t="shared" si="374"/>
        <v>0</v>
      </c>
      <c r="D173" s="242">
        <f t="shared" si="374"/>
        <v>0</v>
      </c>
      <c r="E173" s="242">
        <f t="shared" si="374"/>
        <v>0</v>
      </c>
      <c r="F173" s="242">
        <f t="shared" si="374"/>
        <v>0</v>
      </c>
      <c r="G173" s="242">
        <f t="shared" si="374"/>
        <v>0</v>
      </c>
      <c r="H173" s="242">
        <f t="shared" si="374"/>
        <v>0</v>
      </c>
      <c r="I173" s="242">
        <f t="shared" si="374"/>
        <v>0</v>
      </c>
      <c r="J173" s="242">
        <f t="shared" si="374"/>
        <v>0</v>
      </c>
      <c r="K173" s="242">
        <f t="shared" si="374"/>
        <v>0</v>
      </c>
      <c r="L173" s="242">
        <f t="shared" si="374"/>
        <v>0</v>
      </c>
      <c r="M173" s="242">
        <f t="shared" si="374"/>
        <v>1</v>
      </c>
      <c r="N173" s="257"/>
      <c r="O173" s="257">
        <f t="shared" ref="O173:AO173" si="375">O72</f>
        <v>150000</v>
      </c>
      <c r="P173" s="257">
        <f t="shared" si="375"/>
        <v>150000</v>
      </c>
      <c r="Q173" s="257">
        <f t="shared" si="375"/>
        <v>0</v>
      </c>
      <c r="R173" s="257">
        <f t="shared" si="375"/>
        <v>0</v>
      </c>
      <c r="S173" s="257">
        <f t="shared" si="375"/>
        <v>0</v>
      </c>
      <c r="T173" s="257">
        <f t="shared" si="375"/>
        <v>0</v>
      </c>
      <c r="U173" s="257">
        <f t="shared" si="375"/>
        <v>0</v>
      </c>
      <c r="V173" s="257">
        <f t="shared" si="375"/>
        <v>0</v>
      </c>
      <c r="W173" s="257">
        <f t="shared" si="375"/>
        <v>0</v>
      </c>
      <c r="X173" s="257">
        <f t="shared" si="375"/>
        <v>0</v>
      </c>
      <c r="Y173" s="257">
        <f t="shared" si="375"/>
        <v>0</v>
      </c>
      <c r="Z173" s="257">
        <f t="shared" si="375"/>
        <v>0</v>
      </c>
      <c r="AA173" s="380">
        <f t="shared" si="375"/>
        <v>10</v>
      </c>
      <c r="AB173" s="257">
        <f t="shared" si="375"/>
        <v>15000</v>
      </c>
      <c r="AC173" s="257">
        <f t="shared" si="375"/>
        <v>0</v>
      </c>
      <c r="AD173" s="257">
        <f t="shared" si="375"/>
        <v>15000</v>
      </c>
      <c r="AE173" s="257">
        <f t="shared" si="375"/>
        <v>15000</v>
      </c>
      <c r="AF173" s="257">
        <f t="shared" si="375"/>
        <v>15000</v>
      </c>
      <c r="AG173" s="257">
        <f t="shared" si="375"/>
        <v>15000</v>
      </c>
      <c r="AH173" s="257">
        <f t="shared" si="375"/>
        <v>15000</v>
      </c>
      <c r="AI173" s="257">
        <f t="shared" si="375"/>
        <v>15000</v>
      </c>
      <c r="AJ173" s="257">
        <f t="shared" si="375"/>
        <v>15000</v>
      </c>
      <c r="AK173" s="257">
        <f t="shared" si="375"/>
        <v>15000</v>
      </c>
      <c r="AL173" s="257">
        <f t="shared" si="375"/>
        <v>15000</v>
      </c>
      <c r="AM173" s="257">
        <f t="shared" si="375"/>
        <v>15000</v>
      </c>
      <c r="AN173" s="257">
        <f t="shared" si="375"/>
        <v>150000</v>
      </c>
      <c r="AO173" s="257">
        <f t="shared" si="375"/>
        <v>0</v>
      </c>
    </row>
    <row r="174" spans="1:41" s="253" customFormat="1" x14ac:dyDescent="0.25">
      <c r="A174" s="242" t="str">
        <f t="shared" ref="A174:M174" si="376">A73</f>
        <v>Equipos HSE</v>
      </c>
      <c r="B174" s="242">
        <f t="shared" si="376"/>
        <v>1</v>
      </c>
      <c r="C174" s="242">
        <f t="shared" si="376"/>
        <v>0</v>
      </c>
      <c r="D174" s="242">
        <f t="shared" si="376"/>
        <v>0</v>
      </c>
      <c r="E174" s="242">
        <f t="shared" si="376"/>
        <v>0</v>
      </c>
      <c r="F174" s="242">
        <f t="shared" si="376"/>
        <v>0</v>
      </c>
      <c r="G174" s="242">
        <f t="shared" si="376"/>
        <v>0</v>
      </c>
      <c r="H174" s="242">
        <f t="shared" si="376"/>
        <v>0</v>
      </c>
      <c r="I174" s="242">
        <f t="shared" si="376"/>
        <v>0</v>
      </c>
      <c r="J174" s="242">
        <f t="shared" si="376"/>
        <v>0</v>
      </c>
      <c r="K174" s="242">
        <f t="shared" si="376"/>
        <v>0</v>
      </c>
      <c r="L174" s="242">
        <f t="shared" si="376"/>
        <v>0</v>
      </c>
      <c r="M174" s="242">
        <f t="shared" si="376"/>
        <v>1</v>
      </c>
      <c r="N174" s="257"/>
      <c r="O174" s="257">
        <f t="shared" ref="O174:AO174" si="377">O73</f>
        <v>25000</v>
      </c>
      <c r="P174" s="257">
        <f t="shared" si="377"/>
        <v>25000</v>
      </c>
      <c r="Q174" s="257">
        <f t="shared" si="377"/>
        <v>0</v>
      </c>
      <c r="R174" s="257">
        <f t="shared" si="377"/>
        <v>0</v>
      </c>
      <c r="S174" s="257">
        <f t="shared" si="377"/>
        <v>0</v>
      </c>
      <c r="T174" s="257">
        <f t="shared" si="377"/>
        <v>0</v>
      </c>
      <c r="U174" s="257">
        <f t="shared" si="377"/>
        <v>0</v>
      </c>
      <c r="V174" s="257">
        <f t="shared" si="377"/>
        <v>0</v>
      </c>
      <c r="W174" s="257">
        <f t="shared" si="377"/>
        <v>0</v>
      </c>
      <c r="X174" s="257">
        <f t="shared" si="377"/>
        <v>0</v>
      </c>
      <c r="Y174" s="257">
        <f t="shared" si="377"/>
        <v>0</v>
      </c>
      <c r="Z174" s="257">
        <f t="shared" si="377"/>
        <v>0</v>
      </c>
      <c r="AA174" s="380">
        <f t="shared" si="377"/>
        <v>5</v>
      </c>
      <c r="AB174" s="257">
        <f t="shared" si="377"/>
        <v>5000</v>
      </c>
      <c r="AC174" s="257">
        <f t="shared" si="377"/>
        <v>0</v>
      </c>
      <c r="AD174" s="257">
        <f t="shared" si="377"/>
        <v>5000</v>
      </c>
      <c r="AE174" s="257">
        <f t="shared" si="377"/>
        <v>5000</v>
      </c>
      <c r="AF174" s="257">
        <f t="shared" si="377"/>
        <v>5000</v>
      </c>
      <c r="AG174" s="257">
        <f t="shared" si="377"/>
        <v>5000</v>
      </c>
      <c r="AH174" s="257">
        <f t="shared" si="377"/>
        <v>5000</v>
      </c>
      <c r="AI174" s="257">
        <f t="shared" si="377"/>
        <v>0</v>
      </c>
      <c r="AJ174" s="257">
        <f t="shared" si="377"/>
        <v>0</v>
      </c>
      <c r="AK174" s="257">
        <f t="shared" si="377"/>
        <v>0</v>
      </c>
      <c r="AL174" s="257">
        <f t="shared" si="377"/>
        <v>0</v>
      </c>
      <c r="AM174" s="257">
        <f t="shared" si="377"/>
        <v>0</v>
      </c>
      <c r="AN174" s="257">
        <f t="shared" si="377"/>
        <v>25000</v>
      </c>
      <c r="AO174" s="257">
        <f t="shared" si="377"/>
        <v>0</v>
      </c>
    </row>
    <row r="175" spans="1:41" s="253" customFormat="1" x14ac:dyDescent="0.25">
      <c r="A175" s="242" t="str">
        <f t="shared" ref="A175:M175" si="378">A74</f>
        <v>Equipos HSE</v>
      </c>
      <c r="B175" s="242">
        <f t="shared" si="378"/>
        <v>0</v>
      </c>
      <c r="C175" s="242">
        <f t="shared" si="378"/>
        <v>0</v>
      </c>
      <c r="D175" s="242">
        <f t="shared" si="378"/>
        <v>0</v>
      </c>
      <c r="E175" s="242">
        <f t="shared" si="378"/>
        <v>0</v>
      </c>
      <c r="F175" s="242">
        <f t="shared" si="378"/>
        <v>0</v>
      </c>
      <c r="G175" s="242">
        <f t="shared" si="378"/>
        <v>0</v>
      </c>
      <c r="H175" s="242">
        <f t="shared" si="378"/>
        <v>1</v>
      </c>
      <c r="I175" s="242">
        <f t="shared" si="378"/>
        <v>0</v>
      </c>
      <c r="J175" s="242">
        <f t="shared" si="378"/>
        <v>0</v>
      </c>
      <c r="K175" s="242">
        <f t="shared" si="378"/>
        <v>0</v>
      </c>
      <c r="L175" s="242">
        <f t="shared" si="378"/>
        <v>0</v>
      </c>
      <c r="M175" s="242">
        <f t="shared" si="378"/>
        <v>1</v>
      </c>
      <c r="N175" s="257"/>
      <c r="O175" s="257">
        <f t="shared" ref="O175:AO175" si="379">O74</f>
        <v>25000</v>
      </c>
      <c r="P175" s="257">
        <f t="shared" si="379"/>
        <v>0</v>
      </c>
      <c r="Q175" s="257">
        <f t="shared" si="379"/>
        <v>0</v>
      </c>
      <c r="R175" s="257">
        <f t="shared" si="379"/>
        <v>0</v>
      </c>
      <c r="S175" s="257">
        <f t="shared" si="379"/>
        <v>0</v>
      </c>
      <c r="T175" s="257">
        <f t="shared" si="379"/>
        <v>0</v>
      </c>
      <c r="U175" s="257">
        <f t="shared" si="379"/>
        <v>0</v>
      </c>
      <c r="V175" s="257">
        <f t="shared" si="379"/>
        <v>25000</v>
      </c>
      <c r="W175" s="257">
        <f t="shared" si="379"/>
        <v>0</v>
      </c>
      <c r="X175" s="257">
        <f t="shared" si="379"/>
        <v>0</v>
      </c>
      <c r="Y175" s="257">
        <f t="shared" si="379"/>
        <v>0</v>
      </c>
      <c r="Z175" s="257">
        <f t="shared" si="379"/>
        <v>0</v>
      </c>
      <c r="AA175" s="380">
        <f t="shared" si="379"/>
        <v>5</v>
      </c>
      <c r="AB175" s="257">
        <f t="shared" si="379"/>
        <v>5000</v>
      </c>
      <c r="AC175" s="257">
        <f t="shared" si="379"/>
        <v>0</v>
      </c>
      <c r="AD175" s="257">
        <f t="shared" si="379"/>
        <v>0</v>
      </c>
      <c r="AE175" s="257">
        <f t="shared" si="379"/>
        <v>0</v>
      </c>
      <c r="AF175" s="257">
        <f t="shared" si="379"/>
        <v>0</v>
      </c>
      <c r="AG175" s="257">
        <f t="shared" si="379"/>
        <v>0</v>
      </c>
      <c r="AH175" s="257">
        <f t="shared" si="379"/>
        <v>0</v>
      </c>
      <c r="AI175" s="257">
        <f t="shared" si="379"/>
        <v>5000</v>
      </c>
      <c r="AJ175" s="257">
        <f t="shared" si="379"/>
        <v>5000</v>
      </c>
      <c r="AK175" s="257">
        <f t="shared" si="379"/>
        <v>5000</v>
      </c>
      <c r="AL175" s="257">
        <f t="shared" si="379"/>
        <v>5000</v>
      </c>
      <c r="AM175" s="257">
        <f t="shared" si="379"/>
        <v>5000</v>
      </c>
      <c r="AN175" s="257">
        <f t="shared" si="379"/>
        <v>25000</v>
      </c>
      <c r="AO175" s="257">
        <f t="shared" si="379"/>
        <v>0</v>
      </c>
    </row>
    <row r="176" spans="1:41" s="253" customFormat="1" x14ac:dyDescent="0.25">
      <c r="A176" s="242" t="str">
        <f t="shared" ref="A176:M176" si="380">A75</f>
        <v>Envases</v>
      </c>
      <c r="B176" s="242">
        <f t="shared" si="380"/>
        <v>1</v>
      </c>
      <c r="C176" s="242">
        <f t="shared" si="380"/>
        <v>0</v>
      </c>
      <c r="D176" s="242">
        <f t="shared" si="380"/>
        <v>0</v>
      </c>
      <c r="E176" s="242">
        <f t="shared" si="380"/>
        <v>0</v>
      </c>
      <c r="F176" s="242">
        <f t="shared" si="380"/>
        <v>0</v>
      </c>
      <c r="G176" s="242">
        <f t="shared" si="380"/>
        <v>0</v>
      </c>
      <c r="H176" s="242">
        <f t="shared" si="380"/>
        <v>0</v>
      </c>
      <c r="I176" s="242">
        <f t="shared" si="380"/>
        <v>0</v>
      </c>
      <c r="J176" s="242">
        <f t="shared" si="380"/>
        <v>0</v>
      </c>
      <c r="K176" s="242">
        <f t="shared" si="380"/>
        <v>0</v>
      </c>
      <c r="L176" s="242">
        <f t="shared" si="380"/>
        <v>0</v>
      </c>
      <c r="M176" s="242">
        <f t="shared" si="380"/>
        <v>1</v>
      </c>
      <c r="N176" s="257"/>
      <c r="O176" s="257">
        <f t="shared" ref="O176:AO176" si="381">O75</f>
        <v>25000</v>
      </c>
      <c r="P176" s="257">
        <f t="shared" si="381"/>
        <v>25000</v>
      </c>
      <c r="Q176" s="257">
        <f t="shared" si="381"/>
        <v>0</v>
      </c>
      <c r="R176" s="257">
        <f t="shared" si="381"/>
        <v>0</v>
      </c>
      <c r="S176" s="257">
        <f t="shared" si="381"/>
        <v>0</v>
      </c>
      <c r="T176" s="257">
        <f t="shared" si="381"/>
        <v>0</v>
      </c>
      <c r="U176" s="257">
        <f t="shared" si="381"/>
        <v>0</v>
      </c>
      <c r="V176" s="257">
        <f t="shared" si="381"/>
        <v>0</v>
      </c>
      <c r="W176" s="257">
        <f t="shared" si="381"/>
        <v>0</v>
      </c>
      <c r="X176" s="257">
        <f t="shared" si="381"/>
        <v>0</v>
      </c>
      <c r="Y176" s="257">
        <f t="shared" si="381"/>
        <v>0</v>
      </c>
      <c r="Z176" s="257">
        <f t="shared" si="381"/>
        <v>0</v>
      </c>
      <c r="AA176" s="380">
        <f t="shared" si="381"/>
        <v>5</v>
      </c>
      <c r="AB176" s="257">
        <f t="shared" si="381"/>
        <v>5000</v>
      </c>
      <c r="AC176" s="257">
        <f t="shared" si="381"/>
        <v>0</v>
      </c>
      <c r="AD176" s="257">
        <f t="shared" si="381"/>
        <v>5000</v>
      </c>
      <c r="AE176" s="257">
        <f t="shared" si="381"/>
        <v>5000</v>
      </c>
      <c r="AF176" s="257">
        <f t="shared" si="381"/>
        <v>5000</v>
      </c>
      <c r="AG176" s="257">
        <f t="shared" si="381"/>
        <v>5000</v>
      </c>
      <c r="AH176" s="257">
        <f t="shared" si="381"/>
        <v>5000</v>
      </c>
      <c r="AI176" s="257">
        <f t="shared" si="381"/>
        <v>5000</v>
      </c>
      <c r="AJ176" s="257">
        <f t="shared" si="381"/>
        <v>5000</v>
      </c>
      <c r="AK176" s="257">
        <f t="shared" si="381"/>
        <v>5000</v>
      </c>
      <c r="AL176" s="257">
        <f t="shared" si="381"/>
        <v>5000</v>
      </c>
      <c r="AM176" s="257">
        <f t="shared" si="381"/>
        <v>5000</v>
      </c>
      <c r="AN176" s="257">
        <f t="shared" si="381"/>
        <v>50000</v>
      </c>
      <c r="AO176" s="257">
        <f t="shared" si="381"/>
        <v>-25000</v>
      </c>
    </row>
    <row r="177" spans="1:41" s="253" customFormat="1" x14ac:dyDescent="0.25">
      <c r="A177" s="242" t="str">
        <f t="shared" ref="A177:M177" si="382">A76</f>
        <v>Envases</v>
      </c>
      <c r="B177" s="242">
        <f t="shared" si="382"/>
        <v>0</v>
      </c>
      <c r="C177" s="242">
        <f t="shared" si="382"/>
        <v>0</v>
      </c>
      <c r="D177" s="242">
        <f t="shared" si="382"/>
        <v>0</v>
      </c>
      <c r="E177" s="242">
        <f t="shared" si="382"/>
        <v>0</v>
      </c>
      <c r="F177" s="242">
        <f t="shared" si="382"/>
        <v>0</v>
      </c>
      <c r="G177" s="242">
        <f t="shared" si="382"/>
        <v>0</v>
      </c>
      <c r="H177" s="242">
        <f t="shared" si="382"/>
        <v>1</v>
      </c>
      <c r="I177" s="242">
        <f t="shared" si="382"/>
        <v>0</v>
      </c>
      <c r="J177" s="242">
        <f t="shared" si="382"/>
        <v>0</v>
      </c>
      <c r="K177" s="242">
        <f t="shared" si="382"/>
        <v>0</v>
      </c>
      <c r="L177" s="242">
        <f t="shared" si="382"/>
        <v>0</v>
      </c>
      <c r="M177" s="242">
        <f t="shared" si="382"/>
        <v>1</v>
      </c>
      <c r="N177" s="257"/>
      <c r="O177" s="257">
        <f t="shared" ref="O177:AO177" si="383">O76</f>
        <v>25000</v>
      </c>
      <c r="P177" s="257">
        <f t="shared" si="383"/>
        <v>0</v>
      </c>
      <c r="Q177" s="257">
        <f t="shared" si="383"/>
        <v>0</v>
      </c>
      <c r="R177" s="257">
        <f t="shared" si="383"/>
        <v>0</v>
      </c>
      <c r="S177" s="257">
        <f t="shared" si="383"/>
        <v>0</v>
      </c>
      <c r="T177" s="257">
        <f t="shared" si="383"/>
        <v>0</v>
      </c>
      <c r="U177" s="257">
        <f t="shared" si="383"/>
        <v>0</v>
      </c>
      <c r="V177" s="257">
        <f t="shared" si="383"/>
        <v>25000</v>
      </c>
      <c r="W177" s="257">
        <f t="shared" si="383"/>
        <v>0</v>
      </c>
      <c r="X177" s="257">
        <f t="shared" si="383"/>
        <v>0</v>
      </c>
      <c r="Y177" s="257">
        <f t="shared" si="383"/>
        <v>0</v>
      </c>
      <c r="Z177" s="257">
        <f t="shared" si="383"/>
        <v>0</v>
      </c>
      <c r="AA177" s="380">
        <f t="shared" si="383"/>
        <v>5</v>
      </c>
      <c r="AB177" s="257">
        <f t="shared" si="383"/>
        <v>5000</v>
      </c>
      <c r="AC177" s="257">
        <f t="shared" si="383"/>
        <v>0</v>
      </c>
      <c r="AD177" s="257">
        <f t="shared" si="383"/>
        <v>5000</v>
      </c>
      <c r="AE177" s="257">
        <f t="shared" si="383"/>
        <v>5000</v>
      </c>
      <c r="AF177" s="257">
        <f t="shared" si="383"/>
        <v>5000</v>
      </c>
      <c r="AG177" s="257">
        <f t="shared" si="383"/>
        <v>5000</v>
      </c>
      <c r="AH177" s="257">
        <f t="shared" si="383"/>
        <v>5000</v>
      </c>
      <c r="AI177" s="257">
        <f t="shared" si="383"/>
        <v>5000</v>
      </c>
      <c r="AJ177" s="257">
        <f t="shared" si="383"/>
        <v>5000</v>
      </c>
      <c r="AK177" s="257">
        <f t="shared" si="383"/>
        <v>5000</v>
      </c>
      <c r="AL177" s="257">
        <f t="shared" si="383"/>
        <v>5000</v>
      </c>
      <c r="AM177" s="257">
        <f t="shared" si="383"/>
        <v>5000</v>
      </c>
      <c r="AN177" s="257">
        <f t="shared" si="383"/>
        <v>50000</v>
      </c>
      <c r="AO177" s="257">
        <f t="shared" si="383"/>
        <v>-25000</v>
      </c>
    </row>
    <row r="178" spans="1:41" s="253" customFormat="1" x14ac:dyDescent="0.25">
      <c r="N178" s="257"/>
      <c r="O178" s="257"/>
      <c r="P178" s="259">
        <f>SUM(P107:P177)</f>
        <v>10006681.903528612</v>
      </c>
      <c r="Q178" s="259">
        <f t="shared" ref="Q178" si="384">SUM(Q107:Q177)</f>
        <v>137300.43920000002</v>
      </c>
      <c r="R178" s="259">
        <f t="shared" ref="R178" si="385">SUM(R107:R177)</f>
        <v>0</v>
      </c>
      <c r="S178" s="259">
        <f t="shared" ref="S178" si="386">SUM(S107:S177)</f>
        <v>338384.4</v>
      </c>
      <c r="T178" s="259">
        <f t="shared" ref="T178" si="387">SUM(T107:T177)</f>
        <v>236428.43932861101</v>
      </c>
      <c r="U178" s="259">
        <f t="shared" ref="U178" si="388">SUM(U107:U177)</f>
        <v>39875</v>
      </c>
      <c r="V178" s="259">
        <f t="shared" ref="V178" si="389">SUM(V107:V177)</f>
        <v>237300.43920000002</v>
      </c>
      <c r="W178" s="259">
        <f t="shared" ref="W178" si="390">SUM(W107:W177)</f>
        <v>0</v>
      </c>
      <c r="X178" s="259">
        <f t="shared" ref="X178" si="391">SUM(X107:X177)</f>
        <v>0</v>
      </c>
      <c r="Y178" s="259">
        <f t="shared" ref="Y178" si="392">SUM(Y107:Y177)</f>
        <v>0</v>
      </c>
      <c r="Z178" s="259">
        <f t="shared" ref="Z178" si="393">SUM(Z107:Z177)</f>
        <v>0</v>
      </c>
      <c r="AB178" s="259"/>
      <c r="AC178" s="259">
        <f t="shared" ref="AC178" si="394">SUM(AC107:AC177)</f>
        <v>0</v>
      </c>
      <c r="AD178" s="259">
        <f t="shared" ref="AD178" si="395">SUM(AD107:AD177)</f>
        <v>623112.12690190738</v>
      </c>
      <c r="AE178" s="259">
        <f t="shared" ref="AE178" si="396">SUM(AE107:AE177)</f>
        <v>632265.48951524077</v>
      </c>
      <c r="AF178" s="259">
        <f t="shared" ref="AF178" si="397">SUM(AF107:AF177)</f>
        <v>632265.48951524077</v>
      </c>
      <c r="AG178" s="259">
        <f t="shared" ref="AG178" si="398">SUM(AG107:AG177)</f>
        <v>654824.44951524085</v>
      </c>
      <c r="AH178" s="259">
        <f t="shared" ref="AH178" si="399">SUM(AH107:AH177)</f>
        <v>670586.34547048155</v>
      </c>
      <c r="AI178" s="259">
        <f t="shared" ref="AI178" si="400">SUM(AI107:AI177)</f>
        <v>673244.67880381492</v>
      </c>
      <c r="AJ178" s="259">
        <f t="shared" ref="AJ178" si="401">SUM(AJ107:AJ177)</f>
        <v>682398.0414171482</v>
      </c>
      <c r="AK178" s="259">
        <f t="shared" ref="AK178" si="402">SUM(AK107:AK177)</f>
        <v>682398.0414171482</v>
      </c>
      <c r="AL178" s="259">
        <f t="shared" ref="AL178" si="403">SUM(AL107:AL177)</f>
        <v>682398.0414171482</v>
      </c>
      <c r="AM178" s="259">
        <f t="shared" ref="AM178" si="404">SUM(AM107:AM177)</f>
        <v>682398.0414171482</v>
      </c>
      <c r="AN178" s="259">
        <f t="shared" ref="AN178" si="405">SUM(AN107:AN177)</f>
        <v>6615890.7453905176</v>
      </c>
      <c r="AO178" s="259">
        <f t="shared" ref="AO178" si="406">SUM(AO107:AO177)</f>
        <v>4380079.8758667046</v>
      </c>
    </row>
    <row r="179" spans="1:41" s="253" customFormat="1" x14ac:dyDescent="0.25">
      <c r="A179" s="242" t="str">
        <f>A78</f>
        <v>Confección proyecto inversión</v>
      </c>
      <c r="B179" s="253">
        <f t="shared" ref="B179:M179" si="407">B78</f>
        <v>1</v>
      </c>
      <c r="C179" s="253">
        <f t="shared" si="407"/>
        <v>0</v>
      </c>
      <c r="D179" s="253">
        <f t="shared" si="407"/>
        <v>0</v>
      </c>
      <c r="E179" s="253">
        <f t="shared" si="407"/>
        <v>0</v>
      </c>
      <c r="F179" s="253">
        <f t="shared" si="407"/>
        <v>0</v>
      </c>
      <c r="G179" s="253">
        <f t="shared" si="407"/>
        <v>0</v>
      </c>
      <c r="H179" s="253">
        <f t="shared" si="407"/>
        <v>0</v>
      </c>
      <c r="I179" s="253">
        <f t="shared" si="407"/>
        <v>0</v>
      </c>
      <c r="J179" s="253">
        <f t="shared" si="407"/>
        <v>0</v>
      </c>
      <c r="K179" s="253">
        <f t="shared" si="407"/>
        <v>0</v>
      </c>
      <c r="L179" s="253">
        <f t="shared" si="407"/>
        <v>0</v>
      </c>
      <c r="M179" s="253">
        <f t="shared" si="407"/>
        <v>0</v>
      </c>
      <c r="N179" s="257"/>
      <c r="O179" s="257">
        <f>O78</f>
        <v>380000</v>
      </c>
      <c r="P179" s="257">
        <f>P78</f>
        <v>380000</v>
      </c>
      <c r="Q179" s="257">
        <f t="shared" ref="Q179:AM179" si="408">Q78</f>
        <v>0</v>
      </c>
      <c r="R179" s="257">
        <f t="shared" si="408"/>
        <v>0</v>
      </c>
      <c r="S179" s="257">
        <f t="shared" si="408"/>
        <v>0</v>
      </c>
      <c r="T179" s="257">
        <f t="shared" si="408"/>
        <v>0</v>
      </c>
      <c r="U179" s="257">
        <f t="shared" si="408"/>
        <v>0</v>
      </c>
      <c r="V179" s="257">
        <f t="shared" si="408"/>
        <v>0</v>
      </c>
      <c r="W179" s="257">
        <f t="shared" si="408"/>
        <v>0</v>
      </c>
      <c r="X179" s="257">
        <f t="shared" si="408"/>
        <v>0</v>
      </c>
      <c r="Y179" s="257">
        <f t="shared" si="408"/>
        <v>0</v>
      </c>
      <c r="Z179" s="257">
        <f t="shared" si="408"/>
        <v>0</v>
      </c>
      <c r="AA179" s="380">
        <f t="shared" si="408"/>
        <v>5</v>
      </c>
      <c r="AB179" s="257">
        <f t="shared" si="408"/>
        <v>76000</v>
      </c>
      <c r="AC179" s="257">
        <f t="shared" si="408"/>
        <v>0</v>
      </c>
      <c r="AD179" s="257">
        <f t="shared" si="408"/>
        <v>76000</v>
      </c>
      <c r="AE179" s="257">
        <f t="shared" si="408"/>
        <v>76000</v>
      </c>
      <c r="AF179" s="257">
        <f t="shared" si="408"/>
        <v>76000</v>
      </c>
      <c r="AG179" s="257">
        <f t="shared" si="408"/>
        <v>76000</v>
      </c>
      <c r="AH179" s="257">
        <f t="shared" si="408"/>
        <v>76000</v>
      </c>
      <c r="AI179" s="257">
        <f t="shared" si="408"/>
        <v>0</v>
      </c>
      <c r="AJ179" s="257">
        <f t="shared" si="408"/>
        <v>0</v>
      </c>
      <c r="AK179" s="257">
        <f t="shared" si="408"/>
        <v>0</v>
      </c>
      <c r="AL179" s="257">
        <f t="shared" si="408"/>
        <v>0</v>
      </c>
      <c r="AM179" s="257">
        <f t="shared" si="408"/>
        <v>0</v>
      </c>
      <c r="AN179" s="257">
        <f>SUM(AD179:AM179)</f>
        <v>380000</v>
      </c>
      <c r="AO179" s="257">
        <f>O179-AN179</f>
        <v>0</v>
      </c>
    </row>
    <row r="180" spans="1:41" s="253" customFormat="1" x14ac:dyDescent="0.25">
      <c r="A180" s="242" t="str">
        <f>A79</f>
        <v>Preparación de proyectos técnico de instalación</v>
      </c>
      <c r="B180" s="253">
        <f t="shared" ref="B180:M180" si="409">B79</f>
        <v>1</v>
      </c>
      <c r="C180" s="253">
        <f t="shared" si="409"/>
        <v>0</v>
      </c>
      <c r="D180" s="253">
        <f t="shared" si="409"/>
        <v>0</v>
      </c>
      <c r="E180" s="253">
        <f t="shared" si="409"/>
        <v>0</v>
      </c>
      <c r="F180" s="253">
        <f t="shared" si="409"/>
        <v>0</v>
      </c>
      <c r="G180" s="253">
        <f t="shared" si="409"/>
        <v>0</v>
      </c>
      <c r="H180" s="253">
        <f t="shared" si="409"/>
        <v>0</v>
      </c>
      <c r="I180" s="253">
        <f t="shared" si="409"/>
        <v>0</v>
      </c>
      <c r="J180" s="253">
        <f t="shared" si="409"/>
        <v>0</v>
      </c>
      <c r="K180" s="253">
        <f t="shared" si="409"/>
        <v>0</v>
      </c>
      <c r="L180" s="253">
        <f t="shared" si="409"/>
        <v>0</v>
      </c>
      <c r="M180" s="253">
        <f t="shared" si="409"/>
        <v>0</v>
      </c>
      <c r="N180" s="257"/>
      <c r="O180" s="257">
        <f>O79</f>
        <v>570000</v>
      </c>
      <c r="P180" s="257">
        <f>P79</f>
        <v>570000</v>
      </c>
      <c r="Q180" s="257">
        <f>Q79</f>
        <v>0</v>
      </c>
      <c r="R180" s="257">
        <f>R79</f>
        <v>0</v>
      </c>
      <c r="S180" s="257">
        <f>S79</f>
        <v>0</v>
      </c>
      <c r="T180" s="257">
        <f>T79</f>
        <v>0</v>
      </c>
      <c r="U180" s="257">
        <f>U79</f>
        <v>0</v>
      </c>
      <c r="V180" s="257">
        <f>V79</f>
        <v>0</v>
      </c>
      <c r="W180" s="257">
        <f>W79</f>
        <v>0</v>
      </c>
      <c r="X180" s="257">
        <f>X79</f>
        <v>0</v>
      </c>
      <c r="Y180" s="257">
        <f>Y79</f>
        <v>0</v>
      </c>
      <c r="Z180" s="257">
        <f>Z79</f>
        <v>0</v>
      </c>
      <c r="AA180" s="380">
        <f>AA79</f>
        <v>5</v>
      </c>
      <c r="AB180" s="257">
        <f>AB79</f>
        <v>114000</v>
      </c>
      <c r="AC180" s="257">
        <f>AC79</f>
        <v>0</v>
      </c>
      <c r="AD180" s="257">
        <f>AD79</f>
        <v>114000</v>
      </c>
      <c r="AE180" s="257">
        <f t="shared" ref="AE180:AM180" si="410">AE79</f>
        <v>114000</v>
      </c>
      <c r="AF180" s="257">
        <f t="shared" si="410"/>
        <v>114000</v>
      </c>
      <c r="AG180" s="257">
        <f t="shared" si="410"/>
        <v>114000</v>
      </c>
      <c r="AH180" s="257">
        <f t="shared" si="410"/>
        <v>114000</v>
      </c>
      <c r="AI180" s="257">
        <f t="shared" si="410"/>
        <v>0</v>
      </c>
      <c r="AJ180" s="257">
        <f t="shared" si="410"/>
        <v>0</v>
      </c>
      <c r="AK180" s="257">
        <f t="shared" si="410"/>
        <v>0</v>
      </c>
      <c r="AL180" s="257">
        <f t="shared" si="410"/>
        <v>0</v>
      </c>
      <c r="AM180" s="257">
        <f t="shared" si="410"/>
        <v>0</v>
      </c>
      <c r="AN180" s="257">
        <f t="shared" ref="AN180:AN189" si="411">SUM(AD180:AM180)</f>
        <v>570000</v>
      </c>
      <c r="AO180" s="257">
        <f t="shared" ref="AO180:AO189" si="412">O180-AN180</f>
        <v>0</v>
      </c>
    </row>
    <row r="181" spans="1:41" s="253" customFormat="1" x14ac:dyDescent="0.25">
      <c r="A181" s="242" t="str">
        <f>A80</f>
        <v>Contratista y Ejecución de la instalación</v>
      </c>
      <c r="B181" s="253">
        <f t="shared" ref="B181:M181" si="413">B80</f>
        <v>1</v>
      </c>
      <c r="C181" s="253">
        <f t="shared" si="413"/>
        <v>0</v>
      </c>
      <c r="D181" s="253">
        <f t="shared" si="413"/>
        <v>0</v>
      </c>
      <c r="E181" s="253">
        <f t="shared" si="413"/>
        <v>0</v>
      </c>
      <c r="F181" s="253">
        <f t="shared" si="413"/>
        <v>0</v>
      </c>
      <c r="G181" s="253">
        <f t="shared" si="413"/>
        <v>0</v>
      </c>
      <c r="H181" s="253">
        <f t="shared" si="413"/>
        <v>0</v>
      </c>
      <c r="I181" s="253">
        <f t="shared" si="413"/>
        <v>0</v>
      </c>
      <c r="J181" s="253">
        <f t="shared" si="413"/>
        <v>0</v>
      </c>
      <c r="K181" s="253">
        <f t="shared" si="413"/>
        <v>0</v>
      </c>
      <c r="L181" s="253">
        <f t="shared" si="413"/>
        <v>0</v>
      </c>
      <c r="M181" s="253">
        <f t="shared" si="413"/>
        <v>0</v>
      </c>
      <c r="N181" s="257"/>
      <c r="O181" s="257">
        <f>O80</f>
        <v>2150000</v>
      </c>
      <c r="P181" s="257">
        <f>P80</f>
        <v>2150000</v>
      </c>
      <c r="Q181" s="257">
        <f>Q80</f>
        <v>0</v>
      </c>
      <c r="R181" s="257">
        <f>R80</f>
        <v>0</v>
      </c>
      <c r="S181" s="257">
        <f>S80</f>
        <v>0</v>
      </c>
      <c r="T181" s="257">
        <f>T80</f>
        <v>0</v>
      </c>
      <c r="U181" s="257">
        <f>U80</f>
        <v>0</v>
      </c>
      <c r="V181" s="257">
        <f>V80</f>
        <v>0</v>
      </c>
      <c r="W181" s="257">
        <f>W80</f>
        <v>0</v>
      </c>
      <c r="X181" s="257">
        <f>X80</f>
        <v>0</v>
      </c>
      <c r="Y181" s="257">
        <f>Y80</f>
        <v>0</v>
      </c>
      <c r="Z181" s="257">
        <f>Z80</f>
        <v>0</v>
      </c>
      <c r="AA181" s="380">
        <f>AA80</f>
        <v>5</v>
      </c>
      <c r="AB181" s="257">
        <f>AB80</f>
        <v>430000</v>
      </c>
      <c r="AC181" s="257">
        <f>AC80</f>
        <v>0</v>
      </c>
      <c r="AD181" s="257">
        <f>AD80</f>
        <v>430000</v>
      </c>
      <c r="AE181" s="257">
        <f t="shared" ref="AE181:AM181" si="414">AE80</f>
        <v>430000</v>
      </c>
      <c r="AF181" s="257">
        <f t="shared" si="414"/>
        <v>430000</v>
      </c>
      <c r="AG181" s="257">
        <f t="shared" si="414"/>
        <v>430000</v>
      </c>
      <c r="AH181" s="257">
        <f t="shared" si="414"/>
        <v>430000</v>
      </c>
      <c r="AI181" s="257">
        <f t="shared" si="414"/>
        <v>0</v>
      </c>
      <c r="AJ181" s="257">
        <f t="shared" si="414"/>
        <v>0</v>
      </c>
      <c r="AK181" s="257">
        <f t="shared" si="414"/>
        <v>0</v>
      </c>
      <c r="AL181" s="257">
        <f t="shared" si="414"/>
        <v>0</v>
      </c>
      <c r="AM181" s="257">
        <f t="shared" si="414"/>
        <v>0</v>
      </c>
      <c r="AN181" s="257">
        <f t="shared" si="411"/>
        <v>2150000</v>
      </c>
      <c r="AO181" s="257">
        <f t="shared" si="412"/>
        <v>0</v>
      </c>
    </row>
    <row r="182" spans="1:41" s="253" customFormat="1" x14ac:dyDescent="0.25">
      <c r="A182" s="242" t="str">
        <f>A81</f>
        <v>Gastos legales y de constitución</v>
      </c>
      <c r="B182" s="253">
        <f t="shared" ref="B182:M182" si="415">B81</f>
        <v>1</v>
      </c>
      <c r="C182" s="253">
        <f t="shared" si="415"/>
        <v>0</v>
      </c>
      <c r="D182" s="253">
        <f t="shared" si="415"/>
        <v>0</v>
      </c>
      <c r="E182" s="253">
        <f t="shared" si="415"/>
        <v>0</v>
      </c>
      <c r="F182" s="253">
        <f t="shared" si="415"/>
        <v>0</v>
      </c>
      <c r="G182" s="253">
        <f t="shared" si="415"/>
        <v>0</v>
      </c>
      <c r="H182" s="253">
        <f t="shared" si="415"/>
        <v>0</v>
      </c>
      <c r="I182" s="253">
        <f t="shared" si="415"/>
        <v>0</v>
      </c>
      <c r="J182" s="253">
        <f t="shared" si="415"/>
        <v>0</v>
      </c>
      <c r="K182" s="253">
        <f t="shared" si="415"/>
        <v>0</v>
      </c>
      <c r="L182" s="253">
        <f t="shared" si="415"/>
        <v>0</v>
      </c>
      <c r="M182" s="253">
        <f t="shared" si="415"/>
        <v>0</v>
      </c>
      <c r="N182" s="257"/>
      <c r="O182" s="257">
        <f>O81</f>
        <v>120000</v>
      </c>
      <c r="P182" s="257">
        <f>P81</f>
        <v>120000</v>
      </c>
      <c r="Q182" s="257">
        <f>Q81</f>
        <v>0</v>
      </c>
      <c r="R182" s="257">
        <f>R81</f>
        <v>0</v>
      </c>
      <c r="S182" s="257">
        <f>S81</f>
        <v>0</v>
      </c>
      <c r="T182" s="257">
        <f>T81</f>
        <v>0</v>
      </c>
      <c r="U182" s="257">
        <f>U81</f>
        <v>0</v>
      </c>
      <c r="V182" s="257">
        <f>V81</f>
        <v>0</v>
      </c>
      <c r="W182" s="257">
        <f>W81</f>
        <v>0</v>
      </c>
      <c r="X182" s="257">
        <f>X81</f>
        <v>0</v>
      </c>
      <c r="Y182" s="257">
        <f>Y81</f>
        <v>0</v>
      </c>
      <c r="Z182" s="257">
        <f>Z81</f>
        <v>0</v>
      </c>
      <c r="AA182" s="380">
        <f>AA81</f>
        <v>5</v>
      </c>
      <c r="AB182" s="257">
        <f>AB81</f>
        <v>24000</v>
      </c>
      <c r="AC182" s="257">
        <f>AC81</f>
        <v>0</v>
      </c>
      <c r="AD182" s="257">
        <f>AD81</f>
        <v>24000</v>
      </c>
      <c r="AE182" s="257">
        <f t="shared" ref="AE182:AM182" si="416">AE81</f>
        <v>24000</v>
      </c>
      <c r="AF182" s="257">
        <f t="shared" si="416"/>
        <v>24000</v>
      </c>
      <c r="AG182" s="257">
        <f t="shared" si="416"/>
        <v>24000</v>
      </c>
      <c r="AH182" s="257">
        <f t="shared" si="416"/>
        <v>24000</v>
      </c>
      <c r="AI182" s="257">
        <f t="shared" si="416"/>
        <v>0</v>
      </c>
      <c r="AJ182" s="257">
        <f t="shared" si="416"/>
        <v>0</v>
      </c>
      <c r="AK182" s="257">
        <f t="shared" si="416"/>
        <v>0</v>
      </c>
      <c r="AL182" s="257">
        <f t="shared" si="416"/>
        <v>0</v>
      </c>
      <c r="AM182" s="257">
        <f t="shared" si="416"/>
        <v>0</v>
      </c>
      <c r="AN182" s="257">
        <f t="shared" si="411"/>
        <v>120000</v>
      </c>
      <c r="AO182" s="257">
        <f t="shared" si="412"/>
        <v>0</v>
      </c>
    </row>
    <row r="183" spans="1:41" s="253" customFormat="1" x14ac:dyDescent="0.25">
      <c r="A183" s="242" t="str">
        <f>A82</f>
        <v>Trámites y habilitaciones</v>
      </c>
      <c r="B183" s="253">
        <f t="shared" ref="B183:M183" si="417">B82</f>
        <v>1</v>
      </c>
      <c r="C183" s="253">
        <f t="shared" si="417"/>
        <v>0</v>
      </c>
      <c r="D183" s="253">
        <f t="shared" si="417"/>
        <v>0</v>
      </c>
      <c r="E183" s="253">
        <f t="shared" si="417"/>
        <v>0</v>
      </c>
      <c r="F183" s="253">
        <f t="shared" si="417"/>
        <v>0</v>
      </c>
      <c r="G183" s="253">
        <f t="shared" si="417"/>
        <v>0</v>
      </c>
      <c r="H183" s="253">
        <f t="shared" si="417"/>
        <v>0</v>
      </c>
      <c r="I183" s="253">
        <f t="shared" si="417"/>
        <v>0</v>
      </c>
      <c r="J183" s="253">
        <f t="shared" si="417"/>
        <v>0</v>
      </c>
      <c r="K183" s="253">
        <f t="shared" si="417"/>
        <v>0</v>
      </c>
      <c r="L183" s="253">
        <f t="shared" si="417"/>
        <v>0</v>
      </c>
      <c r="M183" s="253">
        <f t="shared" si="417"/>
        <v>0</v>
      </c>
      <c r="N183" s="257"/>
      <c r="O183" s="257">
        <f>O82</f>
        <v>80000</v>
      </c>
      <c r="P183" s="257">
        <f>P82</f>
        <v>80000</v>
      </c>
      <c r="Q183" s="257">
        <f>Q82</f>
        <v>0</v>
      </c>
      <c r="R183" s="257">
        <f>R82</f>
        <v>0</v>
      </c>
      <c r="S183" s="257">
        <f>S82</f>
        <v>0</v>
      </c>
      <c r="T183" s="257">
        <f>T82</f>
        <v>0</v>
      </c>
      <c r="U183" s="257">
        <f>U82</f>
        <v>0</v>
      </c>
      <c r="V183" s="257">
        <f>V82</f>
        <v>0</v>
      </c>
      <c r="W183" s="257">
        <f>W82</f>
        <v>0</v>
      </c>
      <c r="X183" s="257">
        <f>X82</f>
        <v>0</v>
      </c>
      <c r="Y183" s="257">
        <f>Y82</f>
        <v>0</v>
      </c>
      <c r="Z183" s="257">
        <f>Z82</f>
        <v>0</v>
      </c>
      <c r="AA183" s="380">
        <f>AA82</f>
        <v>5</v>
      </c>
      <c r="AB183" s="257">
        <f>AB82</f>
        <v>16000</v>
      </c>
      <c r="AC183" s="257">
        <f>AC82</f>
        <v>0</v>
      </c>
      <c r="AD183" s="257">
        <f>AD82</f>
        <v>16000</v>
      </c>
      <c r="AE183" s="257">
        <f t="shared" ref="AE183:AM183" si="418">AE82</f>
        <v>16000</v>
      </c>
      <c r="AF183" s="257">
        <f t="shared" si="418"/>
        <v>16000</v>
      </c>
      <c r="AG183" s="257">
        <f t="shared" si="418"/>
        <v>16000</v>
      </c>
      <c r="AH183" s="257">
        <f t="shared" si="418"/>
        <v>16000</v>
      </c>
      <c r="AI183" s="257">
        <f t="shared" si="418"/>
        <v>0</v>
      </c>
      <c r="AJ183" s="257">
        <f t="shared" si="418"/>
        <v>0</v>
      </c>
      <c r="AK183" s="257">
        <f t="shared" si="418"/>
        <v>0</v>
      </c>
      <c r="AL183" s="257">
        <f t="shared" si="418"/>
        <v>0</v>
      </c>
      <c r="AM183" s="257">
        <f t="shared" si="418"/>
        <v>0</v>
      </c>
      <c r="AN183" s="257">
        <f t="shared" si="411"/>
        <v>80000</v>
      </c>
      <c r="AO183" s="257">
        <f t="shared" si="412"/>
        <v>0</v>
      </c>
    </row>
    <row r="184" spans="1:41" s="253" customFormat="1" x14ac:dyDescent="0.25">
      <c r="A184" s="242" t="str">
        <f>A83</f>
        <v>Gastos especiales de promoción</v>
      </c>
      <c r="B184" s="253">
        <f t="shared" ref="B184:M184" si="419">B83</f>
        <v>1</v>
      </c>
      <c r="C184" s="253">
        <f t="shared" si="419"/>
        <v>0</v>
      </c>
      <c r="D184" s="253">
        <f t="shared" si="419"/>
        <v>0</v>
      </c>
      <c r="E184" s="253">
        <f t="shared" si="419"/>
        <v>0</v>
      </c>
      <c r="F184" s="253">
        <f t="shared" si="419"/>
        <v>0</v>
      </c>
      <c r="G184" s="253">
        <f t="shared" si="419"/>
        <v>0</v>
      </c>
      <c r="H184" s="253">
        <f t="shared" si="419"/>
        <v>0</v>
      </c>
      <c r="I184" s="253">
        <f t="shared" si="419"/>
        <v>0</v>
      </c>
      <c r="J184" s="253">
        <f t="shared" si="419"/>
        <v>0</v>
      </c>
      <c r="K184" s="253">
        <f t="shared" si="419"/>
        <v>0</v>
      </c>
      <c r="L184" s="253">
        <f t="shared" si="419"/>
        <v>0</v>
      </c>
      <c r="M184" s="253">
        <f t="shared" si="419"/>
        <v>0</v>
      </c>
      <c r="N184" s="257"/>
      <c r="O184" s="257">
        <f>O83</f>
        <v>200000</v>
      </c>
      <c r="P184" s="257">
        <f>P83</f>
        <v>200000</v>
      </c>
      <c r="Q184" s="257">
        <f>Q83</f>
        <v>0</v>
      </c>
      <c r="R184" s="257">
        <f>R83</f>
        <v>0</v>
      </c>
      <c r="S184" s="257">
        <f>S83</f>
        <v>0</v>
      </c>
      <c r="T184" s="257">
        <f>T83</f>
        <v>0</v>
      </c>
      <c r="U184" s="257">
        <f>U83</f>
        <v>0</v>
      </c>
      <c r="V184" s="257">
        <f>V83</f>
        <v>0</v>
      </c>
      <c r="W184" s="257">
        <f>W83</f>
        <v>0</v>
      </c>
      <c r="X184" s="257">
        <f>X83</f>
        <v>0</v>
      </c>
      <c r="Y184" s="257">
        <f>Y83</f>
        <v>0</v>
      </c>
      <c r="Z184" s="257">
        <f>Z83</f>
        <v>0</v>
      </c>
      <c r="AA184" s="380">
        <f>AA83</f>
        <v>5</v>
      </c>
      <c r="AB184" s="257">
        <f>AB83</f>
        <v>40000</v>
      </c>
      <c r="AC184" s="257">
        <f>AC83</f>
        <v>0</v>
      </c>
      <c r="AD184" s="257">
        <f>AD83</f>
        <v>40000</v>
      </c>
      <c r="AE184" s="257">
        <f t="shared" ref="AE184:AM184" si="420">AE83</f>
        <v>40000</v>
      </c>
      <c r="AF184" s="257">
        <f t="shared" si="420"/>
        <v>40000</v>
      </c>
      <c r="AG184" s="257">
        <f t="shared" si="420"/>
        <v>40000</v>
      </c>
      <c r="AH184" s="257">
        <f t="shared" si="420"/>
        <v>40000</v>
      </c>
      <c r="AI184" s="257">
        <f t="shared" si="420"/>
        <v>0</v>
      </c>
      <c r="AJ184" s="257">
        <f t="shared" si="420"/>
        <v>0</v>
      </c>
      <c r="AK184" s="257">
        <f t="shared" si="420"/>
        <v>0</v>
      </c>
      <c r="AL184" s="257">
        <f t="shared" si="420"/>
        <v>0</v>
      </c>
      <c r="AM184" s="257">
        <f t="shared" si="420"/>
        <v>0</v>
      </c>
      <c r="AN184" s="257">
        <f t="shared" si="411"/>
        <v>200000</v>
      </c>
      <c r="AO184" s="257">
        <f t="shared" si="412"/>
        <v>0</v>
      </c>
    </row>
    <row r="185" spans="1:41" s="253" customFormat="1" x14ac:dyDescent="0.25">
      <c r="A185" s="242" t="str">
        <f>A84</f>
        <v>Capacitación</v>
      </c>
      <c r="B185" s="253">
        <f t="shared" ref="B185:M186" si="421">B84</f>
        <v>1</v>
      </c>
      <c r="C185" s="253">
        <f t="shared" si="421"/>
        <v>0</v>
      </c>
      <c r="D185" s="253">
        <f t="shared" si="421"/>
        <v>0</v>
      </c>
      <c r="E185" s="253">
        <f t="shared" si="421"/>
        <v>0</v>
      </c>
      <c r="F185" s="253">
        <f t="shared" si="421"/>
        <v>0</v>
      </c>
      <c r="G185" s="253">
        <f t="shared" si="421"/>
        <v>0</v>
      </c>
      <c r="H185" s="253">
        <f t="shared" si="421"/>
        <v>0</v>
      </c>
      <c r="I185" s="253">
        <f t="shared" si="421"/>
        <v>0</v>
      </c>
      <c r="J185" s="253">
        <f t="shared" si="421"/>
        <v>0</v>
      </c>
      <c r="K185" s="253">
        <f t="shared" si="421"/>
        <v>0</v>
      </c>
      <c r="L185" s="253">
        <f t="shared" si="421"/>
        <v>0</v>
      </c>
      <c r="M185" s="253">
        <f t="shared" si="421"/>
        <v>0</v>
      </c>
      <c r="N185" s="257"/>
      <c r="O185" s="257">
        <f>O84</f>
        <v>100000</v>
      </c>
      <c r="P185" s="257">
        <f>P84</f>
        <v>100000</v>
      </c>
      <c r="Q185" s="257">
        <f>Q84</f>
        <v>0</v>
      </c>
      <c r="R185" s="257">
        <f>R84</f>
        <v>0</v>
      </c>
      <c r="S185" s="257">
        <f>S84</f>
        <v>0</v>
      </c>
      <c r="T185" s="257">
        <f>T84</f>
        <v>0</v>
      </c>
      <c r="U185" s="257">
        <f>U84</f>
        <v>0</v>
      </c>
      <c r="V185" s="257">
        <f>V84</f>
        <v>0</v>
      </c>
      <c r="W185" s="257">
        <f>W84</f>
        <v>0</v>
      </c>
      <c r="X185" s="257">
        <f>X84</f>
        <v>0</v>
      </c>
      <c r="Y185" s="257">
        <f>Y84</f>
        <v>0</v>
      </c>
      <c r="Z185" s="257">
        <f>Z84</f>
        <v>0</v>
      </c>
      <c r="AA185" s="380">
        <f>AA84</f>
        <v>5</v>
      </c>
      <c r="AB185" s="257">
        <f>AB84</f>
        <v>20000</v>
      </c>
      <c r="AC185" s="257">
        <f>AC84</f>
        <v>0</v>
      </c>
      <c r="AD185" s="257">
        <f>AD84</f>
        <v>20000</v>
      </c>
      <c r="AE185" s="257">
        <f t="shared" ref="AE185:AM186" si="422">AE84</f>
        <v>20000</v>
      </c>
      <c r="AF185" s="257">
        <f t="shared" si="422"/>
        <v>20000</v>
      </c>
      <c r="AG185" s="257">
        <f t="shared" si="422"/>
        <v>20000</v>
      </c>
      <c r="AH185" s="257">
        <f t="shared" si="422"/>
        <v>20000</v>
      </c>
      <c r="AI185" s="257">
        <f t="shared" si="422"/>
        <v>0</v>
      </c>
      <c r="AJ185" s="257">
        <f t="shared" si="422"/>
        <v>0</v>
      </c>
      <c r="AK185" s="257">
        <f t="shared" si="422"/>
        <v>0</v>
      </c>
      <c r="AL185" s="257">
        <f t="shared" si="422"/>
        <v>0</v>
      </c>
      <c r="AM185" s="257">
        <f t="shared" si="422"/>
        <v>0</v>
      </c>
      <c r="AN185" s="257">
        <f t="shared" si="411"/>
        <v>100000</v>
      </c>
      <c r="AO185" s="257">
        <f t="shared" si="412"/>
        <v>0</v>
      </c>
    </row>
    <row r="186" spans="1:41" s="253" customFormat="1" x14ac:dyDescent="0.25">
      <c r="A186" s="242" t="str">
        <f>A85</f>
        <v>Patentes, llaves, licencias</v>
      </c>
      <c r="B186" s="253">
        <f t="shared" si="421"/>
        <v>1</v>
      </c>
      <c r="C186" s="253">
        <f t="shared" si="421"/>
        <v>0</v>
      </c>
      <c r="D186" s="253">
        <f t="shared" si="421"/>
        <v>0</v>
      </c>
      <c r="E186" s="253">
        <f t="shared" si="421"/>
        <v>0</v>
      </c>
      <c r="F186" s="253">
        <f t="shared" si="421"/>
        <v>0</v>
      </c>
      <c r="G186" s="253">
        <f t="shared" si="421"/>
        <v>0</v>
      </c>
      <c r="H186" s="253">
        <f t="shared" si="421"/>
        <v>0</v>
      </c>
      <c r="I186" s="253">
        <f t="shared" si="421"/>
        <v>0</v>
      </c>
      <c r="J186" s="253">
        <f t="shared" si="421"/>
        <v>0</v>
      </c>
      <c r="K186" s="253">
        <f t="shared" si="421"/>
        <v>0</v>
      </c>
      <c r="L186" s="253">
        <f t="shared" si="421"/>
        <v>0</v>
      </c>
      <c r="M186" s="253">
        <f t="shared" si="421"/>
        <v>0</v>
      </c>
      <c r="N186" s="257"/>
      <c r="O186" s="257">
        <f>O85</f>
        <v>100000</v>
      </c>
      <c r="P186" s="257">
        <f>P85</f>
        <v>100000</v>
      </c>
      <c r="Q186" s="257">
        <f>Q85</f>
        <v>0</v>
      </c>
      <c r="R186" s="257">
        <f>R85</f>
        <v>0</v>
      </c>
      <c r="S186" s="257">
        <f>S85</f>
        <v>0</v>
      </c>
      <c r="T186" s="257">
        <f>T85</f>
        <v>0</v>
      </c>
      <c r="U186" s="257">
        <f>U85</f>
        <v>0</v>
      </c>
      <c r="V186" s="257">
        <f>V85</f>
        <v>0</v>
      </c>
      <c r="W186" s="257">
        <f>W85</f>
        <v>0</v>
      </c>
      <c r="X186" s="257">
        <f>X85</f>
        <v>0</v>
      </c>
      <c r="Y186" s="257">
        <f>Y85</f>
        <v>0</v>
      </c>
      <c r="Z186" s="257">
        <f>Z85</f>
        <v>0</v>
      </c>
      <c r="AA186" s="380">
        <f>AA85</f>
        <v>6</v>
      </c>
      <c r="AB186" s="257">
        <f>AB85</f>
        <v>16666.666666666668</v>
      </c>
      <c r="AC186" s="257">
        <f>AC85</f>
        <v>0</v>
      </c>
      <c r="AD186" s="257">
        <f>AD85</f>
        <v>20000</v>
      </c>
      <c r="AE186" s="257">
        <f t="shared" si="422"/>
        <v>20000</v>
      </c>
      <c r="AF186" s="257">
        <f t="shared" si="422"/>
        <v>20000</v>
      </c>
      <c r="AG186" s="257">
        <f t="shared" si="422"/>
        <v>20000</v>
      </c>
      <c r="AH186" s="257">
        <f t="shared" si="422"/>
        <v>20000</v>
      </c>
      <c r="AI186" s="257">
        <f t="shared" si="422"/>
        <v>0</v>
      </c>
      <c r="AJ186" s="257">
        <f t="shared" si="422"/>
        <v>0</v>
      </c>
      <c r="AK186" s="257">
        <f t="shared" si="422"/>
        <v>0</v>
      </c>
      <c r="AL186" s="257">
        <f t="shared" si="422"/>
        <v>0</v>
      </c>
      <c r="AM186" s="257">
        <f t="shared" si="422"/>
        <v>0</v>
      </c>
      <c r="AN186" s="257">
        <f t="shared" ref="AN186" si="423">SUM(AD186:AM186)</f>
        <v>100000</v>
      </c>
      <c r="AO186" s="257">
        <f t="shared" ref="AO186" si="424">O186-AN186</f>
        <v>0</v>
      </c>
    </row>
    <row r="187" spans="1:41" s="253" customFormat="1" x14ac:dyDescent="0.25">
      <c r="A187" s="242" t="str">
        <f t="shared" ref="A187" si="425">A86</f>
        <v>Puesta en marcha</v>
      </c>
      <c r="B187" s="253">
        <f t="shared" ref="B187:M187" si="426">B86</f>
        <v>1</v>
      </c>
      <c r="C187" s="253">
        <f t="shared" si="426"/>
        <v>0</v>
      </c>
      <c r="D187" s="253">
        <f t="shared" si="426"/>
        <v>0</v>
      </c>
      <c r="E187" s="253">
        <f t="shared" si="426"/>
        <v>0</v>
      </c>
      <c r="F187" s="253">
        <f t="shared" si="426"/>
        <v>0</v>
      </c>
      <c r="G187" s="253">
        <f t="shared" si="426"/>
        <v>0</v>
      </c>
      <c r="H187" s="253">
        <f t="shared" si="426"/>
        <v>0</v>
      </c>
      <c r="I187" s="253">
        <f t="shared" si="426"/>
        <v>0</v>
      </c>
      <c r="J187" s="253">
        <f t="shared" si="426"/>
        <v>0</v>
      </c>
      <c r="K187" s="253">
        <f t="shared" si="426"/>
        <v>0</v>
      </c>
      <c r="L187" s="253">
        <f t="shared" si="426"/>
        <v>0</v>
      </c>
      <c r="M187" s="253">
        <f t="shared" si="426"/>
        <v>0</v>
      </c>
      <c r="N187" s="257"/>
      <c r="O187" s="257">
        <f t="shared" ref="O187:AD187" si="427">O86</f>
        <v>460000</v>
      </c>
      <c r="P187" s="257">
        <f t="shared" si="427"/>
        <v>460000</v>
      </c>
      <c r="Q187" s="257">
        <f t="shared" si="427"/>
        <v>0</v>
      </c>
      <c r="R187" s="257">
        <f t="shared" si="427"/>
        <v>0</v>
      </c>
      <c r="S187" s="257">
        <f t="shared" si="427"/>
        <v>0</v>
      </c>
      <c r="T187" s="257">
        <f t="shared" si="427"/>
        <v>0</v>
      </c>
      <c r="U187" s="257">
        <f t="shared" si="427"/>
        <v>0</v>
      </c>
      <c r="V187" s="257">
        <f t="shared" si="427"/>
        <v>0</v>
      </c>
      <c r="W187" s="257">
        <f t="shared" si="427"/>
        <v>0</v>
      </c>
      <c r="X187" s="257">
        <f t="shared" si="427"/>
        <v>0</v>
      </c>
      <c r="Y187" s="257">
        <f t="shared" si="427"/>
        <v>0</v>
      </c>
      <c r="Z187" s="257">
        <f t="shared" si="427"/>
        <v>0</v>
      </c>
      <c r="AA187" s="380">
        <f t="shared" si="427"/>
        <v>5</v>
      </c>
      <c r="AB187" s="257">
        <f t="shared" si="427"/>
        <v>92000</v>
      </c>
      <c r="AC187" s="257">
        <f t="shared" si="427"/>
        <v>0</v>
      </c>
      <c r="AD187" s="257">
        <f t="shared" si="427"/>
        <v>92000</v>
      </c>
      <c r="AE187" s="257">
        <f t="shared" ref="AE187:AM187" si="428">AE86</f>
        <v>92000</v>
      </c>
      <c r="AF187" s="257">
        <f t="shared" si="428"/>
        <v>92000</v>
      </c>
      <c r="AG187" s="257">
        <f t="shared" si="428"/>
        <v>92000</v>
      </c>
      <c r="AH187" s="257">
        <f t="shared" si="428"/>
        <v>92000</v>
      </c>
      <c r="AI187" s="257">
        <f t="shared" si="428"/>
        <v>0</v>
      </c>
      <c r="AJ187" s="257">
        <f t="shared" si="428"/>
        <v>0</v>
      </c>
      <c r="AK187" s="257">
        <f t="shared" si="428"/>
        <v>0</v>
      </c>
      <c r="AL187" s="257">
        <f t="shared" si="428"/>
        <v>0</v>
      </c>
      <c r="AM187" s="257">
        <f t="shared" si="428"/>
        <v>0</v>
      </c>
      <c r="AN187" s="257">
        <f t="shared" si="411"/>
        <v>460000</v>
      </c>
      <c r="AO187" s="257">
        <f t="shared" si="412"/>
        <v>0</v>
      </c>
    </row>
    <row r="188" spans="1:41" s="415" customFormat="1" x14ac:dyDescent="0.25">
      <c r="A188" s="414" t="str">
        <f>'Cuadro Inv'!B108</f>
        <v>Costo de Constitución de las Garantías</v>
      </c>
      <c r="B188" s="415">
        <v>1</v>
      </c>
      <c r="C188" s="415">
        <v>0</v>
      </c>
      <c r="D188" s="415">
        <v>0</v>
      </c>
      <c r="E188" s="415">
        <v>0</v>
      </c>
      <c r="F188" s="415">
        <v>0</v>
      </c>
      <c r="G188" s="415">
        <v>0</v>
      </c>
      <c r="H188" s="415">
        <v>0</v>
      </c>
      <c r="I188" s="415">
        <v>0</v>
      </c>
      <c r="J188" s="415">
        <v>0</v>
      </c>
      <c r="K188" s="415">
        <v>0</v>
      </c>
      <c r="L188" s="415">
        <v>0</v>
      </c>
      <c r="M188" s="415">
        <v>0</v>
      </c>
      <c r="N188" s="400"/>
      <c r="O188" s="400">
        <f>'Cuadro Inv'!D108</f>
        <v>104115.826</v>
      </c>
      <c r="P188" s="400">
        <f>B188*$O$188</f>
        <v>104115.826</v>
      </c>
      <c r="Q188" s="400">
        <f t="shared" ref="Q188:Z188" si="429">C188*$O$188</f>
        <v>0</v>
      </c>
      <c r="R188" s="400">
        <f t="shared" si="429"/>
        <v>0</v>
      </c>
      <c r="S188" s="400">
        <f t="shared" si="429"/>
        <v>0</v>
      </c>
      <c r="T188" s="400">
        <f t="shared" si="429"/>
        <v>0</v>
      </c>
      <c r="U188" s="400">
        <f t="shared" si="429"/>
        <v>0</v>
      </c>
      <c r="V188" s="400">
        <f t="shared" si="429"/>
        <v>0</v>
      </c>
      <c r="W188" s="400">
        <f t="shared" si="429"/>
        <v>0</v>
      </c>
      <c r="X188" s="400">
        <f t="shared" si="429"/>
        <v>0</v>
      </c>
      <c r="Y188" s="400">
        <f t="shared" si="429"/>
        <v>0</v>
      </c>
      <c r="Z188" s="400">
        <f t="shared" si="429"/>
        <v>0</v>
      </c>
      <c r="AA188" s="416">
        <v>5</v>
      </c>
      <c r="AB188" s="400">
        <f>IF(AA188=0,0,O188/AA188)</f>
        <v>20823.165199999999</v>
      </c>
      <c r="AD188" s="400">
        <f>$AB$188</f>
        <v>20823.165199999999</v>
      </c>
      <c r="AE188" s="400">
        <f t="shared" ref="AE188:AH188" si="430">$AB$188</f>
        <v>20823.165199999999</v>
      </c>
      <c r="AF188" s="400">
        <f t="shared" si="430"/>
        <v>20823.165199999999</v>
      </c>
      <c r="AG188" s="400">
        <f t="shared" si="430"/>
        <v>20823.165199999999</v>
      </c>
      <c r="AH188" s="400">
        <f t="shared" si="430"/>
        <v>20823.165199999999</v>
      </c>
      <c r="AN188" s="400">
        <f t="shared" si="411"/>
        <v>104115.826</v>
      </c>
      <c r="AO188" s="400">
        <f t="shared" si="412"/>
        <v>0</v>
      </c>
    </row>
    <row r="189" spans="1:41" s="415" customFormat="1" x14ac:dyDescent="0.25">
      <c r="A189" s="414" t="str">
        <f>'Cuadro Inv'!B109</f>
        <v>Intereses Intercalarios</v>
      </c>
      <c r="B189" s="415">
        <v>1</v>
      </c>
      <c r="C189" s="415">
        <v>0</v>
      </c>
      <c r="D189" s="415">
        <v>0</v>
      </c>
      <c r="E189" s="415">
        <v>0</v>
      </c>
      <c r="F189" s="415">
        <v>0</v>
      </c>
      <c r="G189" s="415">
        <v>0</v>
      </c>
      <c r="H189" s="415">
        <v>0</v>
      </c>
      <c r="I189" s="415">
        <v>0</v>
      </c>
      <c r="J189" s="415">
        <v>0</v>
      </c>
      <c r="K189" s="415">
        <v>0</v>
      </c>
      <c r="L189" s="415">
        <v>0</v>
      </c>
      <c r="M189" s="415">
        <v>0</v>
      </c>
      <c r="N189" s="400"/>
      <c r="O189" s="400">
        <f>'Cuadro Inv'!D109</f>
        <v>624694.95600000001</v>
      </c>
      <c r="P189" s="400">
        <f>B189*$O$189</f>
        <v>624694.95600000001</v>
      </c>
      <c r="Q189" s="400">
        <f t="shared" ref="Q189:Z189" si="431">C189*$O$189</f>
        <v>0</v>
      </c>
      <c r="R189" s="400">
        <f t="shared" si="431"/>
        <v>0</v>
      </c>
      <c r="S189" s="400">
        <f t="shared" si="431"/>
        <v>0</v>
      </c>
      <c r="T189" s="400">
        <f t="shared" si="431"/>
        <v>0</v>
      </c>
      <c r="U189" s="400">
        <f t="shared" si="431"/>
        <v>0</v>
      </c>
      <c r="V189" s="400">
        <f t="shared" si="431"/>
        <v>0</v>
      </c>
      <c r="W189" s="400">
        <f t="shared" si="431"/>
        <v>0</v>
      </c>
      <c r="X189" s="400">
        <f t="shared" si="431"/>
        <v>0</v>
      </c>
      <c r="Y189" s="400">
        <f t="shared" si="431"/>
        <v>0</v>
      </c>
      <c r="Z189" s="400">
        <f t="shared" si="431"/>
        <v>0</v>
      </c>
      <c r="AA189" s="416">
        <v>5</v>
      </c>
      <c r="AB189" s="400">
        <f>IF(AA189=0,0,O189/AA189)</f>
        <v>124938.9912</v>
      </c>
      <c r="AD189" s="400">
        <f>$AB$189</f>
        <v>124938.9912</v>
      </c>
      <c r="AE189" s="400">
        <f t="shared" ref="AE189:AH189" si="432">$AB$189</f>
        <v>124938.9912</v>
      </c>
      <c r="AF189" s="400">
        <f t="shared" si="432"/>
        <v>124938.9912</v>
      </c>
      <c r="AG189" s="400">
        <f t="shared" si="432"/>
        <v>124938.9912</v>
      </c>
      <c r="AH189" s="400">
        <f t="shared" si="432"/>
        <v>124938.9912</v>
      </c>
      <c r="AN189" s="400">
        <f t="shared" si="411"/>
        <v>624694.95600000001</v>
      </c>
      <c r="AO189" s="400">
        <f t="shared" si="412"/>
        <v>0</v>
      </c>
    </row>
    <row r="190" spans="1:41" s="415" customFormat="1" x14ac:dyDescent="0.25">
      <c r="N190" s="400"/>
      <c r="O190" s="400"/>
      <c r="P190" s="417">
        <f>SUM(P179:P189)</f>
        <v>4888810.7820000006</v>
      </c>
      <c r="Q190" s="417">
        <f t="shared" ref="Q190:Z190" si="433">SUM(Q179:Q189)</f>
        <v>0</v>
      </c>
      <c r="R190" s="417">
        <f t="shared" si="433"/>
        <v>0</v>
      </c>
      <c r="S190" s="417">
        <f t="shared" si="433"/>
        <v>0</v>
      </c>
      <c r="T190" s="417">
        <f t="shared" si="433"/>
        <v>0</v>
      </c>
      <c r="U190" s="417">
        <f t="shared" si="433"/>
        <v>0</v>
      </c>
      <c r="V190" s="417">
        <f t="shared" si="433"/>
        <v>0</v>
      </c>
      <c r="W190" s="417">
        <f t="shared" si="433"/>
        <v>0</v>
      </c>
      <c r="X190" s="417">
        <f t="shared" si="433"/>
        <v>0</v>
      </c>
      <c r="Y190" s="417">
        <f t="shared" si="433"/>
        <v>0</v>
      </c>
      <c r="Z190" s="417">
        <f t="shared" si="433"/>
        <v>0</v>
      </c>
      <c r="AB190" s="417"/>
      <c r="AC190" s="417">
        <f t="shared" ref="AC190" si="434">SUM(AC179:AC187)</f>
        <v>0</v>
      </c>
      <c r="AD190" s="417">
        <f>SUM(AD179:AD189)</f>
        <v>977762.15640000009</v>
      </c>
      <c r="AE190" s="417">
        <f t="shared" ref="AE190:AO190" si="435">SUM(AE179:AE189)</f>
        <v>977762.15640000009</v>
      </c>
      <c r="AF190" s="417">
        <f t="shared" si="435"/>
        <v>977762.15640000009</v>
      </c>
      <c r="AG190" s="417">
        <f t="shared" si="435"/>
        <v>977762.15640000009</v>
      </c>
      <c r="AH190" s="417">
        <f t="shared" si="435"/>
        <v>977762.15640000009</v>
      </c>
      <c r="AI190" s="417">
        <f t="shared" si="435"/>
        <v>0</v>
      </c>
      <c r="AJ190" s="417">
        <f t="shared" si="435"/>
        <v>0</v>
      </c>
      <c r="AK190" s="417">
        <f t="shared" si="435"/>
        <v>0</v>
      </c>
      <c r="AL190" s="417">
        <f t="shared" si="435"/>
        <v>0</v>
      </c>
      <c r="AM190" s="417">
        <f t="shared" si="435"/>
        <v>0</v>
      </c>
      <c r="AN190" s="417">
        <f t="shared" si="435"/>
        <v>4888810.7820000006</v>
      </c>
      <c r="AO190" s="417">
        <f t="shared" si="435"/>
        <v>0</v>
      </c>
    </row>
    <row r="191" spans="1:41" s="253" customFormat="1" x14ac:dyDescent="0.25">
      <c r="A191" s="242" t="str">
        <f>A88</f>
        <v>Inventario en efectivo</v>
      </c>
      <c r="B191" s="253">
        <f t="shared" ref="B191:M191" si="436">B88</f>
        <v>1</v>
      </c>
      <c r="C191" s="253">
        <f t="shared" si="436"/>
        <v>0</v>
      </c>
      <c r="D191" s="253">
        <f t="shared" si="436"/>
        <v>0</v>
      </c>
      <c r="E191" s="253">
        <f t="shared" si="436"/>
        <v>0</v>
      </c>
      <c r="F191" s="253">
        <f t="shared" si="436"/>
        <v>0</v>
      </c>
      <c r="G191" s="253">
        <f t="shared" si="436"/>
        <v>0</v>
      </c>
      <c r="H191" s="253">
        <f t="shared" si="436"/>
        <v>0</v>
      </c>
      <c r="I191" s="253">
        <f t="shared" si="436"/>
        <v>0</v>
      </c>
      <c r="J191" s="253">
        <f t="shared" si="436"/>
        <v>0</v>
      </c>
      <c r="K191" s="253">
        <f t="shared" si="436"/>
        <v>0</v>
      </c>
      <c r="L191" s="253">
        <f t="shared" si="436"/>
        <v>0</v>
      </c>
      <c r="M191" s="253">
        <f t="shared" si="436"/>
        <v>0</v>
      </c>
      <c r="N191" s="257"/>
      <c r="O191" s="257">
        <f>O88</f>
        <v>135000</v>
      </c>
      <c r="P191" s="257">
        <f>P88</f>
        <v>135000</v>
      </c>
      <c r="Q191" s="257">
        <f>Q88</f>
        <v>0</v>
      </c>
      <c r="R191" s="257">
        <f>R88</f>
        <v>0</v>
      </c>
      <c r="S191" s="257">
        <f>S88</f>
        <v>0</v>
      </c>
      <c r="T191" s="257">
        <f>T88</f>
        <v>0</v>
      </c>
      <c r="U191" s="257">
        <f>U88</f>
        <v>0</v>
      </c>
      <c r="V191" s="257">
        <f>V88</f>
        <v>0</v>
      </c>
      <c r="W191" s="257">
        <f>W88</f>
        <v>0</v>
      </c>
      <c r="X191" s="257">
        <f>X88</f>
        <v>0</v>
      </c>
      <c r="Y191" s="257">
        <f>Y88</f>
        <v>0</v>
      </c>
      <c r="Z191" s="257">
        <f>Z88</f>
        <v>0</v>
      </c>
      <c r="AA191" s="380">
        <f>AA88</f>
        <v>0</v>
      </c>
      <c r="AB191" s="257">
        <f>AB88</f>
        <v>0</v>
      </c>
      <c r="AC191" s="257"/>
      <c r="AD191" s="257">
        <f>AD88</f>
        <v>0</v>
      </c>
      <c r="AE191" s="257">
        <f>AE88</f>
        <v>0</v>
      </c>
      <c r="AF191" s="257">
        <f>AF88</f>
        <v>0</v>
      </c>
      <c r="AG191" s="257">
        <f>AG88</f>
        <v>0</v>
      </c>
      <c r="AH191" s="257">
        <f>AH88</f>
        <v>0</v>
      </c>
      <c r="AI191" s="257">
        <f>AI88</f>
        <v>0</v>
      </c>
      <c r="AJ191" s="257">
        <f>AJ88</f>
        <v>0</v>
      </c>
      <c r="AK191" s="257">
        <f>AK88</f>
        <v>0</v>
      </c>
      <c r="AL191" s="257">
        <f>AL88</f>
        <v>0</v>
      </c>
      <c r="AM191" s="257">
        <f>AM88</f>
        <v>0</v>
      </c>
      <c r="AN191" s="257">
        <f>AN88</f>
        <v>0</v>
      </c>
      <c r="AO191" s="257">
        <f>AO88</f>
        <v>135000</v>
      </c>
    </row>
    <row r="192" spans="1:41" s="253" customFormat="1" x14ac:dyDescent="0.25">
      <c r="A192" s="242" t="str">
        <f>A89</f>
        <v>Inventario de materias primas</v>
      </c>
      <c r="B192" s="253">
        <f t="shared" ref="B192:M192" si="437">B89</f>
        <v>1</v>
      </c>
      <c r="C192" s="253">
        <f t="shared" si="437"/>
        <v>0</v>
      </c>
      <c r="D192" s="253">
        <f t="shared" si="437"/>
        <v>0</v>
      </c>
      <c r="E192" s="253">
        <f t="shared" si="437"/>
        <v>0</v>
      </c>
      <c r="F192" s="253">
        <f t="shared" si="437"/>
        <v>0</v>
      </c>
      <c r="G192" s="253">
        <f t="shared" si="437"/>
        <v>0</v>
      </c>
      <c r="H192" s="253">
        <f t="shared" si="437"/>
        <v>0</v>
      </c>
      <c r="I192" s="253">
        <f t="shared" si="437"/>
        <v>0</v>
      </c>
      <c r="J192" s="253">
        <f t="shared" si="437"/>
        <v>0</v>
      </c>
      <c r="K192" s="253">
        <f t="shared" si="437"/>
        <v>0</v>
      </c>
      <c r="L192" s="253">
        <f t="shared" si="437"/>
        <v>0</v>
      </c>
      <c r="M192" s="253">
        <f t="shared" si="437"/>
        <v>0</v>
      </c>
      <c r="N192" s="257"/>
      <c r="O192" s="257">
        <f>O89</f>
        <v>80000</v>
      </c>
      <c r="P192" s="257">
        <f>P89</f>
        <v>80000</v>
      </c>
      <c r="Q192" s="257">
        <f>Q89</f>
        <v>0</v>
      </c>
      <c r="R192" s="257">
        <f>R89</f>
        <v>0</v>
      </c>
      <c r="S192" s="257">
        <f>S89</f>
        <v>0</v>
      </c>
      <c r="T192" s="257">
        <f>T89</f>
        <v>0</v>
      </c>
      <c r="U192" s="257">
        <f>U89</f>
        <v>0</v>
      </c>
      <c r="V192" s="257">
        <f>V89</f>
        <v>0</v>
      </c>
      <c r="W192" s="257">
        <f>W89</f>
        <v>0</v>
      </c>
      <c r="X192" s="257">
        <f>X89</f>
        <v>0</v>
      </c>
      <c r="Y192" s="257">
        <f>Y89</f>
        <v>0</v>
      </c>
      <c r="Z192" s="257">
        <f>Z89</f>
        <v>0</v>
      </c>
      <c r="AA192" s="380">
        <f>AA89</f>
        <v>0</v>
      </c>
      <c r="AB192" s="257">
        <f>AB89</f>
        <v>0</v>
      </c>
      <c r="AC192" s="257"/>
      <c r="AD192" s="257">
        <f>AD89</f>
        <v>0</v>
      </c>
      <c r="AE192" s="257">
        <f>AE89</f>
        <v>0</v>
      </c>
      <c r="AF192" s="257">
        <f>AF89</f>
        <v>0</v>
      </c>
      <c r="AG192" s="257">
        <f>AG89</f>
        <v>0</v>
      </c>
      <c r="AH192" s="257">
        <f>AH89</f>
        <v>0</v>
      </c>
      <c r="AI192" s="257">
        <f>AI89</f>
        <v>0</v>
      </c>
      <c r="AJ192" s="257">
        <f>AJ89</f>
        <v>0</v>
      </c>
      <c r="AK192" s="257">
        <f>AK89</f>
        <v>0</v>
      </c>
      <c r="AL192" s="257">
        <f>AL89</f>
        <v>0</v>
      </c>
      <c r="AM192" s="257">
        <f>AM89</f>
        <v>0</v>
      </c>
      <c r="AN192" s="257">
        <f>AN89</f>
        <v>0</v>
      </c>
      <c r="AO192" s="257">
        <f>AO89</f>
        <v>80000</v>
      </c>
    </row>
    <row r="193" spans="1:41" s="253" customFormat="1" x14ac:dyDescent="0.25">
      <c r="A193" s="242" t="str">
        <f>A90</f>
        <v>Inventario de envases</v>
      </c>
      <c r="B193" s="253">
        <f t="shared" ref="B193:M193" si="438">B90</f>
        <v>1</v>
      </c>
      <c r="C193" s="253">
        <f t="shared" si="438"/>
        <v>0</v>
      </c>
      <c r="D193" s="253">
        <f t="shared" si="438"/>
        <v>0</v>
      </c>
      <c r="E193" s="253">
        <f t="shared" si="438"/>
        <v>0</v>
      </c>
      <c r="F193" s="253">
        <f t="shared" si="438"/>
        <v>0</v>
      </c>
      <c r="G193" s="253">
        <f t="shared" si="438"/>
        <v>0</v>
      </c>
      <c r="H193" s="253">
        <f t="shared" si="438"/>
        <v>0</v>
      </c>
      <c r="I193" s="253">
        <f t="shared" si="438"/>
        <v>0</v>
      </c>
      <c r="J193" s="253">
        <f t="shared" si="438"/>
        <v>0</v>
      </c>
      <c r="K193" s="253">
        <f t="shared" si="438"/>
        <v>0</v>
      </c>
      <c r="L193" s="253">
        <f t="shared" si="438"/>
        <v>0</v>
      </c>
      <c r="M193" s="253">
        <f t="shared" si="438"/>
        <v>0</v>
      </c>
      <c r="N193" s="257"/>
      <c r="O193" s="257">
        <f>O90</f>
        <v>5000</v>
      </c>
      <c r="P193" s="257">
        <f>P90</f>
        <v>5000</v>
      </c>
      <c r="Q193" s="257">
        <f>Q90</f>
        <v>0</v>
      </c>
      <c r="R193" s="257">
        <f>R90</f>
        <v>0</v>
      </c>
      <c r="S193" s="257">
        <f>S90</f>
        <v>0</v>
      </c>
      <c r="T193" s="257">
        <f>T90</f>
        <v>0</v>
      </c>
      <c r="U193" s="257">
        <f>U90</f>
        <v>0</v>
      </c>
      <c r="V193" s="257">
        <f>V90</f>
        <v>0</v>
      </c>
      <c r="W193" s="257">
        <f>W90</f>
        <v>0</v>
      </c>
      <c r="X193" s="257">
        <f>X90</f>
        <v>0</v>
      </c>
      <c r="Y193" s="257">
        <f>Y90</f>
        <v>0</v>
      </c>
      <c r="Z193" s="257">
        <f>Z90</f>
        <v>0</v>
      </c>
      <c r="AA193" s="380">
        <f>AA90</f>
        <v>0</v>
      </c>
      <c r="AB193" s="257">
        <f>AB90</f>
        <v>0</v>
      </c>
      <c r="AC193" s="257"/>
      <c r="AD193" s="257">
        <f>AD90</f>
        <v>0</v>
      </c>
      <c r="AE193" s="257">
        <f>AE90</f>
        <v>0</v>
      </c>
      <c r="AF193" s="257">
        <f>AF90</f>
        <v>0</v>
      </c>
      <c r="AG193" s="257">
        <f>AG90</f>
        <v>0</v>
      </c>
      <c r="AH193" s="257">
        <f>AH90</f>
        <v>0</v>
      </c>
      <c r="AI193" s="257">
        <f>AI90</f>
        <v>0</v>
      </c>
      <c r="AJ193" s="257">
        <f>AJ90</f>
        <v>0</v>
      </c>
      <c r="AK193" s="257">
        <f>AK90</f>
        <v>0</v>
      </c>
      <c r="AL193" s="257">
        <f>AL90</f>
        <v>0</v>
      </c>
      <c r="AM193" s="257">
        <f>AM90</f>
        <v>0</v>
      </c>
      <c r="AN193" s="257">
        <f>AN90</f>
        <v>0</v>
      </c>
      <c r="AO193" s="257">
        <f>AO90</f>
        <v>5000</v>
      </c>
    </row>
    <row r="194" spans="1:41" s="253" customFormat="1" x14ac:dyDescent="0.25">
      <c r="A194" s="242" t="str">
        <f>A91</f>
        <v>Inventario de producto en proceso</v>
      </c>
      <c r="B194" s="253">
        <f t="shared" ref="B194:M194" si="439">B91</f>
        <v>1</v>
      </c>
      <c r="C194" s="253">
        <f t="shared" si="439"/>
        <v>0</v>
      </c>
      <c r="D194" s="253">
        <f t="shared" si="439"/>
        <v>0</v>
      </c>
      <c r="E194" s="253">
        <f t="shared" si="439"/>
        <v>0</v>
      </c>
      <c r="F194" s="253">
        <f t="shared" si="439"/>
        <v>0</v>
      </c>
      <c r="G194" s="253">
        <f t="shared" si="439"/>
        <v>0</v>
      </c>
      <c r="H194" s="253">
        <f t="shared" si="439"/>
        <v>0</v>
      </c>
      <c r="I194" s="253">
        <f t="shared" si="439"/>
        <v>0</v>
      </c>
      <c r="J194" s="253">
        <f t="shared" si="439"/>
        <v>0</v>
      </c>
      <c r="K194" s="253">
        <f t="shared" si="439"/>
        <v>0</v>
      </c>
      <c r="L194" s="253">
        <f t="shared" si="439"/>
        <v>0</v>
      </c>
      <c r="M194" s="253">
        <f t="shared" si="439"/>
        <v>0</v>
      </c>
      <c r="N194" s="257"/>
      <c r="O194" s="257">
        <f>O91</f>
        <v>80000</v>
      </c>
      <c r="P194" s="257">
        <f>P91</f>
        <v>80000</v>
      </c>
      <c r="Q194" s="257">
        <f>Q91</f>
        <v>0</v>
      </c>
      <c r="R194" s="257">
        <f>R91</f>
        <v>0</v>
      </c>
      <c r="S194" s="257">
        <f>S91</f>
        <v>0</v>
      </c>
      <c r="T194" s="257">
        <f>T91</f>
        <v>0</v>
      </c>
      <c r="U194" s="257">
        <f>U91</f>
        <v>0</v>
      </c>
      <c r="V194" s="257">
        <f>V91</f>
        <v>0</v>
      </c>
      <c r="W194" s="257">
        <f>W91</f>
        <v>0</v>
      </c>
      <c r="X194" s="257">
        <f>X91</f>
        <v>0</v>
      </c>
      <c r="Y194" s="257">
        <f>Y91</f>
        <v>0</v>
      </c>
      <c r="Z194" s="257">
        <f>Z91</f>
        <v>0</v>
      </c>
      <c r="AA194" s="380">
        <f>AA91</f>
        <v>0</v>
      </c>
      <c r="AB194" s="257">
        <f>AB91</f>
        <v>0</v>
      </c>
      <c r="AC194" s="257"/>
      <c r="AD194" s="257">
        <f>AD91</f>
        <v>0</v>
      </c>
      <c r="AE194" s="257">
        <f>AE91</f>
        <v>0</v>
      </c>
      <c r="AF194" s="257">
        <f>AF91</f>
        <v>0</v>
      </c>
      <c r="AG194" s="257">
        <f>AG91</f>
        <v>0</v>
      </c>
      <c r="AH194" s="257">
        <f>AH91</f>
        <v>0</v>
      </c>
      <c r="AI194" s="257">
        <f>AI91</f>
        <v>0</v>
      </c>
      <c r="AJ194" s="257">
        <f>AJ91</f>
        <v>0</v>
      </c>
      <c r="AK194" s="257">
        <f>AK91</f>
        <v>0</v>
      </c>
      <c r="AL194" s="257">
        <f>AL91</f>
        <v>0</v>
      </c>
      <c r="AM194" s="257">
        <f>AM91</f>
        <v>0</v>
      </c>
      <c r="AN194" s="257">
        <f>AN91</f>
        <v>0</v>
      </c>
      <c r="AO194" s="257">
        <f>AO91</f>
        <v>80000</v>
      </c>
    </row>
    <row r="195" spans="1:41" s="253" customFormat="1" x14ac:dyDescent="0.25">
      <c r="A195" s="242" t="str">
        <f>A92</f>
        <v>Inventario de producto terminado</v>
      </c>
      <c r="B195" s="253">
        <f t="shared" ref="B195:M195" si="440">B92</f>
        <v>1</v>
      </c>
      <c r="C195" s="253">
        <f t="shared" si="440"/>
        <v>0</v>
      </c>
      <c r="D195" s="253">
        <f t="shared" si="440"/>
        <v>0</v>
      </c>
      <c r="E195" s="253">
        <f t="shared" si="440"/>
        <v>0</v>
      </c>
      <c r="F195" s="253">
        <f t="shared" si="440"/>
        <v>0</v>
      </c>
      <c r="G195" s="253">
        <f t="shared" si="440"/>
        <v>0</v>
      </c>
      <c r="H195" s="253">
        <f t="shared" si="440"/>
        <v>0</v>
      </c>
      <c r="I195" s="253">
        <f t="shared" si="440"/>
        <v>0</v>
      </c>
      <c r="J195" s="253">
        <f t="shared" si="440"/>
        <v>0</v>
      </c>
      <c r="K195" s="253">
        <f t="shared" si="440"/>
        <v>0</v>
      </c>
      <c r="L195" s="253">
        <f t="shared" si="440"/>
        <v>0</v>
      </c>
      <c r="M195" s="253">
        <f t="shared" si="440"/>
        <v>0</v>
      </c>
      <c r="N195" s="257"/>
      <c r="O195" s="257">
        <f>O92</f>
        <v>500000</v>
      </c>
      <c r="P195" s="257">
        <f>P92</f>
        <v>500000</v>
      </c>
      <c r="Q195" s="257">
        <f>Q92</f>
        <v>0</v>
      </c>
      <c r="R195" s="257">
        <f>R92</f>
        <v>0</v>
      </c>
      <c r="S195" s="257">
        <f>S92</f>
        <v>0</v>
      </c>
      <c r="T195" s="257">
        <f>T92</f>
        <v>0</v>
      </c>
      <c r="U195" s="257">
        <f>U92</f>
        <v>0</v>
      </c>
      <c r="V195" s="257">
        <f>V92</f>
        <v>0</v>
      </c>
      <c r="W195" s="257">
        <f>W92</f>
        <v>0</v>
      </c>
      <c r="X195" s="257">
        <f>X92</f>
        <v>0</v>
      </c>
      <c r="Y195" s="257">
        <f>Y92</f>
        <v>0</v>
      </c>
      <c r="Z195" s="257">
        <f>Z92</f>
        <v>0</v>
      </c>
      <c r="AA195" s="380">
        <f>AA92</f>
        <v>0</v>
      </c>
      <c r="AB195" s="257">
        <f>AB92</f>
        <v>0</v>
      </c>
      <c r="AC195" s="257"/>
      <c r="AD195" s="257">
        <f>AD92</f>
        <v>0</v>
      </c>
      <c r="AE195" s="257">
        <f>AE92</f>
        <v>0</v>
      </c>
      <c r="AF195" s="257">
        <f>AF92</f>
        <v>0</v>
      </c>
      <c r="AG195" s="257">
        <f>AG92</f>
        <v>0</v>
      </c>
      <c r="AH195" s="257">
        <f>AH92</f>
        <v>0</v>
      </c>
      <c r="AI195" s="257">
        <f>AI92</f>
        <v>0</v>
      </c>
      <c r="AJ195" s="257">
        <f>AJ92</f>
        <v>0</v>
      </c>
      <c r="AK195" s="257">
        <f>AK92</f>
        <v>0</v>
      </c>
      <c r="AL195" s="257">
        <f>AL92</f>
        <v>0</v>
      </c>
      <c r="AM195" s="257">
        <f>AM92</f>
        <v>0</v>
      </c>
      <c r="AN195" s="257">
        <f>AN92</f>
        <v>0</v>
      </c>
      <c r="AO195" s="257">
        <f>AO92</f>
        <v>500000</v>
      </c>
    </row>
    <row r="196" spans="1:41" s="253" customFormat="1" x14ac:dyDescent="0.25">
      <c r="A196" s="242" t="str">
        <f>A93</f>
        <v>Inventario de producto terminado a cobrar</v>
      </c>
      <c r="B196" s="253">
        <f t="shared" ref="B196:M196" si="441">B93</f>
        <v>1</v>
      </c>
      <c r="C196" s="253">
        <f t="shared" si="441"/>
        <v>0</v>
      </c>
      <c r="D196" s="253">
        <f t="shared" si="441"/>
        <v>0</v>
      </c>
      <c r="E196" s="253">
        <f t="shared" si="441"/>
        <v>0</v>
      </c>
      <c r="F196" s="253">
        <f t="shared" si="441"/>
        <v>0</v>
      </c>
      <c r="G196" s="253">
        <f t="shared" si="441"/>
        <v>0</v>
      </c>
      <c r="H196" s="253">
        <f t="shared" si="441"/>
        <v>0</v>
      </c>
      <c r="I196" s="253">
        <f t="shared" si="441"/>
        <v>0</v>
      </c>
      <c r="J196" s="253">
        <f t="shared" si="441"/>
        <v>0</v>
      </c>
      <c r="K196" s="253">
        <f t="shared" si="441"/>
        <v>0</v>
      </c>
      <c r="L196" s="253">
        <f t="shared" si="441"/>
        <v>0</v>
      </c>
      <c r="M196" s="253">
        <f t="shared" si="441"/>
        <v>0</v>
      </c>
      <c r="N196" s="257"/>
      <c r="O196" s="257">
        <f>O93</f>
        <v>500000</v>
      </c>
      <c r="P196" s="257">
        <f>P93</f>
        <v>500000</v>
      </c>
      <c r="Q196" s="257">
        <f>Q93</f>
        <v>0</v>
      </c>
      <c r="R196" s="257">
        <f>R93</f>
        <v>0</v>
      </c>
      <c r="S196" s="257">
        <f>S93</f>
        <v>0</v>
      </c>
      <c r="T196" s="257">
        <f>T93</f>
        <v>0</v>
      </c>
      <c r="U196" s="257">
        <f>U93</f>
        <v>0</v>
      </c>
      <c r="V196" s="257">
        <f>V93</f>
        <v>0</v>
      </c>
      <c r="W196" s="257">
        <f>W93</f>
        <v>0</v>
      </c>
      <c r="X196" s="257">
        <f>X93</f>
        <v>0</v>
      </c>
      <c r="Y196" s="257">
        <f>Y93</f>
        <v>0</v>
      </c>
      <c r="Z196" s="257">
        <f>Z93</f>
        <v>0</v>
      </c>
      <c r="AA196" s="380">
        <f>AA93</f>
        <v>0</v>
      </c>
      <c r="AB196" s="257">
        <f>AB93</f>
        <v>0</v>
      </c>
      <c r="AC196" s="257"/>
      <c r="AD196" s="257">
        <f>AD93</f>
        <v>0</v>
      </c>
      <c r="AE196" s="257">
        <f>AE93</f>
        <v>0</v>
      </c>
      <c r="AF196" s="257">
        <f>AF93</f>
        <v>0</v>
      </c>
      <c r="AG196" s="257">
        <f>AG93</f>
        <v>0</v>
      </c>
      <c r="AH196" s="257">
        <f>AH93</f>
        <v>0</v>
      </c>
      <c r="AI196" s="257">
        <f>AI93</f>
        <v>0</v>
      </c>
      <c r="AJ196" s="257">
        <f>AJ93</f>
        <v>0</v>
      </c>
      <c r="AK196" s="257">
        <f>AK93</f>
        <v>0</v>
      </c>
      <c r="AL196" s="257">
        <f>AL93</f>
        <v>0</v>
      </c>
      <c r="AM196" s="257">
        <f>AM93</f>
        <v>0</v>
      </c>
      <c r="AN196" s="257">
        <f>AN93</f>
        <v>0</v>
      </c>
      <c r="AO196" s="257">
        <f>AO93</f>
        <v>500000</v>
      </c>
    </row>
    <row r="197" spans="1:41" s="253" customFormat="1" x14ac:dyDescent="0.25">
      <c r="N197" s="257"/>
      <c r="O197" s="257"/>
      <c r="P197" s="259">
        <f>SUM(P191:P196)</f>
        <v>1300000</v>
      </c>
      <c r="Q197" s="259">
        <f t="shared" ref="Q197" si="442">SUM(Q191:Q196)</f>
        <v>0</v>
      </c>
      <c r="R197" s="259">
        <f t="shared" ref="R197" si="443">SUM(R191:R196)</f>
        <v>0</v>
      </c>
      <c r="S197" s="259">
        <f t="shared" ref="S197" si="444">SUM(S191:S196)</f>
        <v>0</v>
      </c>
      <c r="T197" s="259">
        <f t="shared" ref="T197" si="445">SUM(T191:T196)</f>
        <v>0</v>
      </c>
      <c r="U197" s="259">
        <f t="shared" ref="U197" si="446">SUM(U191:U196)</f>
        <v>0</v>
      </c>
      <c r="V197" s="259">
        <f t="shared" ref="V197" si="447">SUM(V191:V196)</f>
        <v>0</v>
      </c>
      <c r="W197" s="259">
        <f t="shared" ref="W197" si="448">SUM(W191:W196)</f>
        <v>0</v>
      </c>
      <c r="X197" s="259">
        <f t="shared" ref="X197" si="449">SUM(X191:X196)</f>
        <v>0</v>
      </c>
      <c r="Y197" s="259">
        <f t="shared" ref="Y197" si="450">SUM(Y191:Y196)</f>
        <v>0</v>
      </c>
      <c r="Z197" s="259">
        <f t="shared" ref="Z197" si="451">SUM(Z191:Z196)</f>
        <v>0</v>
      </c>
      <c r="AB197" s="259"/>
      <c r="AC197" s="259"/>
      <c r="AD197" s="259">
        <f t="shared" ref="AD197" si="452">SUM(AD191:AD196)</f>
        <v>0</v>
      </c>
      <c r="AE197" s="259">
        <f t="shared" ref="AE197" si="453">SUM(AE191:AE196)</f>
        <v>0</v>
      </c>
      <c r="AF197" s="259">
        <f t="shared" ref="AF197" si="454">SUM(AF191:AF196)</f>
        <v>0</v>
      </c>
      <c r="AG197" s="259">
        <f t="shared" ref="AG197" si="455">SUM(AG191:AG196)</f>
        <v>0</v>
      </c>
      <c r="AH197" s="259">
        <f t="shared" ref="AH197" si="456">SUM(AH191:AH196)</f>
        <v>0</v>
      </c>
      <c r="AI197" s="259">
        <f t="shared" ref="AI197" si="457">SUM(AI191:AI196)</f>
        <v>0</v>
      </c>
      <c r="AJ197" s="259">
        <f t="shared" ref="AJ197" si="458">SUM(AJ191:AJ196)</f>
        <v>0</v>
      </c>
      <c r="AK197" s="259">
        <f t="shared" ref="AK197" si="459">SUM(AK191:AK196)</f>
        <v>0</v>
      </c>
      <c r="AL197" s="259">
        <f t="shared" ref="AL197" si="460">SUM(AL191:AL196)</f>
        <v>0</v>
      </c>
      <c r="AM197" s="259">
        <f t="shared" ref="AM197" si="461">SUM(AM191:AM196)</f>
        <v>0</v>
      </c>
      <c r="AN197" s="259">
        <f t="shared" ref="AN197" si="462">SUM(AN191:AN196)</f>
        <v>0</v>
      </c>
      <c r="AO197" s="259">
        <f t="shared" ref="AO197" si="463">SUM(AO191:AO196)</f>
        <v>1300000</v>
      </c>
    </row>
    <row r="198" spans="1:41" s="253" customFormat="1" x14ac:dyDescent="0.25">
      <c r="A198" s="242" t="str">
        <f>A95</f>
        <v>Ajustes/Imprevistos</v>
      </c>
      <c r="B198" s="253">
        <f t="shared" ref="B198:M198" si="464">B95</f>
        <v>1</v>
      </c>
      <c r="C198" s="253">
        <f t="shared" si="464"/>
        <v>0</v>
      </c>
      <c r="D198" s="253">
        <f t="shared" si="464"/>
        <v>0</v>
      </c>
      <c r="E198" s="253">
        <f t="shared" si="464"/>
        <v>0</v>
      </c>
      <c r="F198" s="253">
        <f t="shared" si="464"/>
        <v>0</v>
      </c>
      <c r="G198" s="253">
        <f t="shared" si="464"/>
        <v>0</v>
      </c>
      <c r="H198" s="253">
        <f t="shared" si="464"/>
        <v>0</v>
      </c>
      <c r="I198" s="253">
        <f t="shared" si="464"/>
        <v>0</v>
      </c>
      <c r="J198" s="253">
        <f t="shared" si="464"/>
        <v>0</v>
      </c>
      <c r="K198" s="253">
        <f t="shared" si="464"/>
        <v>0</v>
      </c>
      <c r="L198" s="253">
        <f t="shared" si="464"/>
        <v>0</v>
      </c>
      <c r="M198" s="253">
        <f t="shared" si="464"/>
        <v>0</v>
      </c>
      <c r="N198" s="257"/>
      <c r="O198" s="257">
        <f>O95</f>
        <v>1500000</v>
      </c>
      <c r="P198" s="257">
        <f t="shared" ref="P198:AO198" si="465">P95</f>
        <v>1500000</v>
      </c>
      <c r="Q198" s="257">
        <f t="shared" si="465"/>
        <v>0</v>
      </c>
      <c r="R198" s="257">
        <f t="shared" si="465"/>
        <v>0</v>
      </c>
      <c r="S198" s="257">
        <f t="shared" si="465"/>
        <v>0</v>
      </c>
      <c r="T198" s="257">
        <f t="shared" si="465"/>
        <v>0</v>
      </c>
      <c r="U198" s="257">
        <f t="shared" si="465"/>
        <v>0</v>
      </c>
      <c r="V198" s="257">
        <f t="shared" si="465"/>
        <v>0</v>
      </c>
      <c r="W198" s="257">
        <f t="shared" si="465"/>
        <v>0</v>
      </c>
      <c r="X198" s="257">
        <f t="shared" si="465"/>
        <v>0</v>
      </c>
      <c r="Y198" s="257">
        <f t="shared" si="465"/>
        <v>0</v>
      </c>
      <c r="Z198" s="257">
        <f t="shared" si="465"/>
        <v>0</v>
      </c>
      <c r="AA198" s="380">
        <f t="shared" si="465"/>
        <v>5</v>
      </c>
      <c r="AB198" s="257">
        <f t="shared" si="465"/>
        <v>300000</v>
      </c>
      <c r="AC198" s="257">
        <f t="shared" si="465"/>
        <v>0</v>
      </c>
      <c r="AD198" s="257">
        <f t="shared" si="465"/>
        <v>300000</v>
      </c>
      <c r="AE198" s="257">
        <f t="shared" si="465"/>
        <v>300000</v>
      </c>
      <c r="AF198" s="257">
        <f t="shared" si="465"/>
        <v>300000</v>
      </c>
      <c r="AG198" s="257">
        <f t="shared" si="465"/>
        <v>300000</v>
      </c>
      <c r="AH198" s="257">
        <f t="shared" si="465"/>
        <v>300000</v>
      </c>
      <c r="AI198" s="257">
        <f t="shared" si="465"/>
        <v>0</v>
      </c>
      <c r="AJ198" s="257">
        <f t="shared" si="465"/>
        <v>0</v>
      </c>
      <c r="AK198" s="257">
        <f t="shared" si="465"/>
        <v>0</v>
      </c>
      <c r="AL198" s="257">
        <f t="shared" si="465"/>
        <v>0</v>
      </c>
      <c r="AM198" s="257">
        <f t="shared" si="465"/>
        <v>0</v>
      </c>
      <c r="AN198" s="257">
        <f t="shared" si="465"/>
        <v>1500000</v>
      </c>
      <c r="AO198" s="257">
        <f t="shared" si="465"/>
        <v>0</v>
      </c>
    </row>
    <row r="199" spans="1:41" s="415" customFormat="1" x14ac:dyDescent="0.25">
      <c r="O199" s="417"/>
      <c r="P199" s="417">
        <f t="shared" ref="P199:Z199" si="466">P178+P190+P197+P198</f>
        <v>17695492.685528614</v>
      </c>
      <c r="Q199" s="417">
        <f t="shared" si="466"/>
        <v>137300.43920000002</v>
      </c>
      <c r="R199" s="417">
        <f t="shared" si="466"/>
        <v>0</v>
      </c>
      <c r="S199" s="417">
        <f t="shared" si="466"/>
        <v>338384.4</v>
      </c>
      <c r="T199" s="417">
        <f t="shared" si="466"/>
        <v>236428.43932861101</v>
      </c>
      <c r="U199" s="417">
        <f t="shared" si="466"/>
        <v>39875</v>
      </c>
      <c r="V199" s="417">
        <f t="shared" si="466"/>
        <v>237300.43920000002</v>
      </c>
      <c r="W199" s="417">
        <f t="shared" si="466"/>
        <v>0</v>
      </c>
      <c r="X199" s="417">
        <f t="shared" si="466"/>
        <v>0</v>
      </c>
      <c r="Y199" s="417">
        <f t="shared" si="466"/>
        <v>0</v>
      </c>
      <c r="Z199" s="417">
        <f t="shared" si="466"/>
        <v>0</v>
      </c>
      <c r="AA199" s="417"/>
      <c r="AB199" s="417"/>
      <c r="AC199" s="417">
        <f>SUM(AC107:AC198)</f>
        <v>0</v>
      </c>
      <c r="AD199" s="417">
        <f t="shared" ref="AD199:AO199" si="467">AD178+AD190+AD197+AD198</f>
        <v>1900874.2833019076</v>
      </c>
      <c r="AE199" s="417">
        <f t="shared" si="467"/>
        <v>1910027.645915241</v>
      </c>
      <c r="AF199" s="417">
        <f t="shared" si="467"/>
        <v>1910027.645915241</v>
      </c>
      <c r="AG199" s="417">
        <f t="shared" si="467"/>
        <v>1932586.6059152409</v>
      </c>
      <c r="AH199" s="417">
        <f t="shared" si="467"/>
        <v>1948348.5018704818</v>
      </c>
      <c r="AI199" s="417">
        <f t="shared" si="467"/>
        <v>673244.67880381492</v>
      </c>
      <c r="AJ199" s="417">
        <f t="shared" si="467"/>
        <v>682398.0414171482</v>
      </c>
      <c r="AK199" s="417">
        <f t="shared" si="467"/>
        <v>682398.0414171482</v>
      </c>
      <c r="AL199" s="417">
        <f t="shared" si="467"/>
        <v>682398.0414171482</v>
      </c>
      <c r="AM199" s="417">
        <f t="shared" si="467"/>
        <v>682398.0414171482</v>
      </c>
      <c r="AN199" s="417">
        <f t="shared" si="467"/>
        <v>13004701.527390517</v>
      </c>
      <c r="AO199" s="417">
        <f t="shared" si="467"/>
        <v>5680079.8758667046</v>
      </c>
    </row>
    <row r="200" spans="1:41" s="253" customFormat="1" ht="15.75" thickBot="1" x14ac:dyDescent="0.3"/>
    <row r="201" spans="1:41" s="253" customFormat="1" ht="15.75" thickBot="1" x14ac:dyDescent="0.3">
      <c r="O201" s="527" t="s">
        <v>7</v>
      </c>
      <c r="P201" s="528">
        <f>SUM(P199:Z199)</f>
        <v>18684781.403257221</v>
      </c>
      <c r="Q201" s="529" t="s">
        <v>6</v>
      </c>
      <c r="AC201" s="527" t="s">
        <v>7</v>
      </c>
      <c r="AD201" s="528">
        <f>AN199+AO199</f>
        <v>18684781.403257221</v>
      </c>
      <c r="AE201" s="529" t="s">
        <v>6</v>
      </c>
    </row>
    <row r="202" spans="1:41" s="253" customFormat="1" x14ac:dyDescent="0.25"/>
    <row r="203" spans="1:41" s="253" customFormat="1" x14ac:dyDescent="0.25">
      <c r="P203" s="257"/>
      <c r="Q203" s="257"/>
      <c r="R203" s="257"/>
      <c r="S203" s="257"/>
      <c r="T203" s="257"/>
      <c r="U203" s="257"/>
      <c r="V203" s="257"/>
      <c r="W203" s="257"/>
      <c r="X203" s="257"/>
      <c r="Y203" s="257"/>
      <c r="Z203" s="257"/>
    </row>
    <row r="204" spans="1:41" s="278" customFormat="1" ht="15.75" thickBot="1" x14ac:dyDescent="0.3"/>
    <row r="205" spans="1:41" s="253" customFormat="1" x14ac:dyDescent="0.25"/>
    <row r="206" spans="1:41" s="253" customFormat="1" x14ac:dyDescent="0.25"/>
    <row r="207" spans="1:41" s="253" customFormat="1" x14ac:dyDescent="0.25">
      <c r="A207" s="253" t="s">
        <v>668</v>
      </c>
    </row>
    <row r="208" spans="1:41" s="253" customFormat="1" x14ac:dyDescent="0.25"/>
    <row r="209" spans="1:16" s="253" customFormat="1" x14ac:dyDescent="0.25">
      <c r="A209" s="253" t="s">
        <v>669</v>
      </c>
      <c r="N209" s="253" t="s">
        <v>670</v>
      </c>
      <c r="O209" s="253" t="s">
        <v>604</v>
      </c>
      <c r="P209" s="253" t="s">
        <v>671</v>
      </c>
    </row>
    <row r="210" spans="1:16" s="253" customFormat="1" x14ac:dyDescent="0.25">
      <c r="A210" s="253" t="s">
        <v>672</v>
      </c>
      <c r="N210" s="253">
        <v>20</v>
      </c>
      <c r="O210" s="253" t="s">
        <v>673</v>
      </c>
    </row>
    <row r="211" spans="1:16" s="253" customFormat="1" x14ac:dyDescent="0.25">
      <c r="A211" s="253" t="s">
        <v>674</v>
      </c>
      <c r="N211" s="253">
        <v>8</v>
      </c>
      <c r="O211" s="253" t="s">
        <v>673</v>
      </c>
    </row>
    <row r="212" spans="1:16" s="253" customFormat="1" x14ac:dyDescent="0.25">
      <c r="A212" s="253" t="s">
        <v>675</v>
      </c>
      <c r="N212" s="253">
        <v>10</v>
      </c>
      <c r="O212" s="253" t="s">
        <v>673</v>
      </c>
    </row>
    <row r="213" spans="1:16" s="253" customFormat="1" x14ac:dyDescent="0.25">
      <c r="A213" s="253" t="s">
        <v>676</v>
      </c>
      <c r="N213" s="253">
        <v>15</v>
      </c>
      <c r="O213" s="253" t="s">
        <v>673</v>
      </c>
    </row>
    <row r="214" spans="1:16" s="253" customFormat="1" x14ac:dyDescent="0.25">
      <c r="A214" s="253" t="s">
        <v>677</v>
      </c>
      <c r="N214" s="253">
        <v>25</v>
      </c>
      <c r="O214" s="253" t="s">
        <v>673</v>
      </c>
    </row>
    <row r="215" spans="1:16" s="253" customFormat="1" x14ac:dyDescent="0.25">
      <c r="A215" s="253" t="s">
        <v>678</v>
      </c>
      <c r="N215" s="253">
        <v>5</v>
      </c>
      <c r="O215" s="253" t="s">
        <v>673</v>
      </c>
    </row>
    <row r="216" spans="1:16" s="253" customFormat="1" x14ac:dyDescent="0.25">
      <c r="A216" s="253" t="s">
        <v>679</v>
      </c>
      <c r="N216" s="253">
        <v>15</v>
      </c>
      <c r="O216" s="253" t="s">
        <v>673</v>
      </c>
    </row>
    <row r="217" spans="1:16" s="253" customFormat="1" x14ac:dyDescent="0.25">
      <c r="A217" s="253" t="s">
        <v>680</v>
      </c>
      <c r="N217" s="253">
        <v>25</v>
      </c>
      <c r="O217" s="253" t="s">
        <v>673</v>
      </c>
    </row>
    <row r="218" spans="1:16" s="253" customFormat="1" x14ac:dyDescent="0.25">
      <c r="A218" s="253" t="s">
        <v>681</v>
      </c>
      <c r="N218" s="253">
        <v>25</v>
      </c>
      <c r="O218" s="253" t="s">
        <v>673</v>
      </c>
    </row>
    <row r="219" spans="1:16" s="253" customFormat="1" x14ac:dyDescent="0.25">
      <c r="A219" s="253" t="s">
        <v>682</v>
      </c>
      <c r="N219" s="253">
        <v>30</v>
      </c>
      <c r="O219" s="253" t="s">
        <v>673</v>
      </c>
    </row>
    <row r="220" spans="1:16" s="253" customFormat="1" x14ac:dyDescent="0.25">
      <c r="A220" s="253" t="s">
        <v>683</v>
      </c>
      <c r="N220" s="253">
        <v>4</v>
      </c>
      <c r="O220" s="253" t="s">
        <v>673</v>
      </c>
    </row>
    <row r="221" spans="1:16" s="253" customFormat="1" x14ac:dyDescent="0.25">
      <c r="A221" s="253" t="s">
        <v>684</v>
      </c>
      <c r="N221" s="253">
        <v>15</v>
      </c>
      <c r="O221" s="253" t="s">
        <v>673</v>
      </c>
    </row>
    <row r="222" spans="1:16" s="253" customFormat="1" x14ac:dyDescent="0.25">
      <c r="A222" s="253" t="s">
        <v>685</v>
      </c>
      <c r="N222" s="253">
        <v>6000</v>
      </c>
      <c r="O222" s="253" t="s">
        <v>686</v>
      </c>
      <c r="P222" s="253" t="s">
        <v>687</v>
      </c>
    </row>
    <row r="223" spans="1:16" s="253" customFormat="1" x14ac:dyDescent="0.25">
      <c r="A223" s="253" t="s">
        <v>688</v>
      </c>
      <c r="N223" s="253">
        <v>9000</v>
      </c>
      <c r="O223" s="253" t="s">
        <v>686</v>
      </c>
      <c r="P223" s="253" t="s">
        <v>687</v>
      </c>
    </row>
    <row r="224" spans="1:16" s="253" customFormat="1" x14ac:dyDescent="0.25">
      <c r="A224" s="253" t="s">
        <v>689</v>
      </c>
      <c r="N224" s="253">
        <v>30000</v>
      </c>
      <c r="O224" s="253" t="s">
        <v>686</v>
      </c>
      <c r="P224" s="253" t="s">
        <v>690</v>
      </c>
    </row>
    <row r="225" spans="1:16" s="253" customFormat="1" x14ac:dyDescent="0.25">
      <c r="A225" s="253" t="s">
        <v>691</v>
      </c>
      <c r="N225" s="253">
        <v>6000</v>
      </c>
      <c r="O225" s="253" t="s">
        <v>686</v>
      </c>
      <c r="P225" s="253" t="s">
        <v>692</v>
      </c>
    </row>
    <row r="226" spans="1:16" s="253" customFormat="1" x14ac:dyDescent="0.25">
      <c r="A226" s="253" t="s">
        <v>693</v>
      </c>
      <c r="N226" s="253">
        <v>15000</v>
      </c>
      <c r="O226" s="253" t="s">
        <v>686</v>
      </c>
      <c r="P226" s="253" t="s">
        <v>694</v>
      </c>
    </row>
    <row r="227" spans="1:16" s="253" customFormat="1" x14ac:dyDescent="0.25">
      <c r="A227" s="253" t="s">
        <v>695</v>
      </c>
      <c r="N227" s="253">
        <v>15</v>
      </c>
      <c r="O227" s="253" t="s">
        <v>673</v>
      </c>
      <c r="P227" s="253" t="s">
        <v>696</v>
      </c>
    </row>
    <row r="228" spans="1:16" s="253" customFormat="1" x14ac:dyDescent="0.25">
      <c r="A228" s="253" t="s">
        <v>697</v>
      </c>
      <c r="N228" s="253">
        <v>2</v>
      </c>
      <c r="O228" s="253" t="s">
        <v>673</v>
      </c>
    </row>
    <row r="229" spans="1:16" s="253" customFormat="1" x14ac:dyDescent="0.25">
      <c r="A229" s="253" t="s">
        <v>698</v>
      </c>
      <c r="N229" s="253">
        <v>15</v>
      </c>
      <c r="O229" s="253" t="s">
        <v>673</v>
      </c>
    </row>
    <row r="230" spans="1:16" s="253" customFormat="1" x14ac:dyDescent="0.25">
      <c r="A230" s="253" t="s">
        <v>699</v>
      </c>
      <c r="N230" s="253">
        <v>10</v>
      </c>
      <c r="O230" s="253" t="s">
        <v>673</v>
      </c>
    </row>
    <row r="231" spans="1:16" s="253" customFormat="1" x14ac:dyDescent="0.25">
      <c r="A231" s="253" t="s">
        <v>700</v>
      </c>
      <c r="N231" s="253">
        <v>15</v>
      </c>
      <c r="O231" s="253" t="s">
        <v>673</v>
      </c>
    </row>
    <row r="232" spans="1:16" s="253" customFormat="1" x14ac:dyDescent="0.25">
      <c r="A232" s="253" t="s">
        <v>701</v>
      </c>
      <c r="N232" s="253">
        <v>15</v>
      </c>
      <c r="O232" s="253" t="s">
        <v>673</v>
      </c>
    </row>
    <row r="233" spans="1:16" s="253" customFormat="1" x14ac:dyDescent="0.25">
      <c r="A233" s="253" t="s">
        <v>702</v>
      </c>
      <c r="N233" s="253">
        <v>12</v>
      </c>
      <c r="O233" s="253" t="s">
        <v>673</v>
      </c>
    </row>
    <row r="234" spans="1:16" s="253" customFormat="1" x14ac:dyDescent="0.25">
      <c r="A234" s="253" t="s">
        <v>703</v>
      </c>
      <c r="N234" s="253">
        <v>5</v>
      </c>
      <c r="O234" s="253" t="s">
        <v>673</v>
      </c>
    </row>
    <row r="235" spans="1:16" s="253" customFormat="1" x14ac:dyDescent="0.25">
      <c r="A235" s="253" t="s">
        <v>704</v>
      </c>
      <c r="N235" s="253">
        <v>50000</v>
      </c>
      <c r="O235" s="253" t="s">
        <v>686</v>
      </c>
      <c r="P235" s="253" t="s">
        <v>705</v>
      </c>
    </row>
    <row r="236" spans="1:16" s="253" customFormat="1" x14ac:dyDescent="0.25">
      <c r="A236" s="253" t="s">
        <v>706</v>
      </c>
      <c r="N236" s="253">
        <v>7</v>
      </c>
      <c r="O236" s="253" t="s">
        <v>673</v>
      </c>
    </row>
    <row r="237" spans="1:16" s="253" customFormat="1" x14ac:dyDescent="0.25">
      <c r="A237" s="253" t="s">
        <v>707</v>
      </c>
      <c r="N237" s="253">
        <v>30</v>
      </c>
      <c r="O237" s="253" t="s">
        <v>673</v>
      </c>
    </row>
    <row r="238" spans="1:16" s="253" customFormat="1" x14ac:dyDescent="0.25">
      <c r="A238" s="253" t="s">
        <v>708</v>
      </c>
      <c r="N238" s="253">
        <v>200000</v>
      </c>
      <c r="O238" s="253" t="s">
        <v>686</v>
      </c>
      <c r="P238" s="253" t="s">
        <v>709</v>
      </c>
    </row>
    <row r="239" spans="1:16" s="253" customFormat="1" x14ac:dyDescent="0.25">
      <c r="A239" s="253" t="s">
        <v>710</v>
      </c>
      <c r="N239" s="253">
        <v>150000</v>
      </c>
      <c r="O239" s="253" t="s">
        <v>686</v>
      </c>
      <c r="P239" s="253" t="s">
        <v>709</v>
      </c>
    </row>
    <row r="240" spans="1:16" s="253" customFormat="1" x14ac:dyDescent="0.25">
      <c r="A240" s="253" t="s">
        <v>711</v>
      </c>
      <c r="N240" s="253">
        <v>25</v>
      </c>
      <c r="O240" s="253" t="s">
        <v>673</v>
      </c>
    </row>
    <row r="241" spans="1:16" s="253" customFormat="1" x14ac:dyDescent="0.25">
      <c r="A241" s="253" t="s">
        <v>712</v>
      </c>
      <c r="N241" s="253">
        <v>150000</v>
      </c>
      <c r="O241" s="253" t="s">
        <v>686</v>
      </c>
      <c r="P241" s="253" t="s">
        <v>705</v>
      </c>
    </row>
    <row r="242" spans="1:16" s="253" customFormat="1" x14ac:dyDescent="0.25">
      <c r="A242" s="253" t="s">
        <v>713</v>
      </c>
      <c r="N242" s="253" t="s">
        <v>714</v>
      </c>
      <c r="O242" s="253" t="s">
        <v>673</v>
      </c>
      <c r="P242" s="253" t="s">
        <v>715</v>
      </c>
    </row>
    <row r="243" spans="1:16" s="253" customFormat="1" x14ac:dyDescent="0.25">
      <c r="A243" s="253" t="s">
        <v>716</v>
      </c>
      <c r="N243" s="253">
        <v>5</v>
      </c>
      <c r="O243" s="253" t="s">
        <v>673</v>
      </c>
    </row>
    <row r="244" spans="1:16" s="253" customFormat="1" x14ac:dyDescent="0.25">
      <c r="A244" s="253" t="s">
        <v>717</v>
      </c>
      <c r="N244" s="253">
        <v>7</v>
      </c>
      <c r="O244" s="253" t="s">
        <v>673</v>
      </c>
    </row>
    <row r="245" spans="1:16" s="253" customFormat="1" x14ac:dyDescent="0.25">
      <c r="A245" s="253" t="s">
        <v>718</v>
      </c>
      <c r="N245" s="253">
        <v>12</v>
      </c>
      <c r="O245" s="253" t="s">
        <v>673</v>
      </c>
    </row>
    <row r="246" spans="1:16" s="253" customFormat="1" x14ac:dyDescent="0.25">
      <c r="A246" s="253" t="s">
        <v>719</v>
      </c>
      <c r="N246" s="253">
        <v>7</v>
      </c>
      <c r="O246" s="253" t="s">
        <v>673</v>
      </c>
    </row>
    <row r="247" spans="1:16" s="253" customFormat="1" x14ac:dyDescent="0.25">
      <c r="A247" s="253" t="s">
        <v>720</v>
      </c>
      <c r="N247" s="253">
        <v>10</v>
      </c>
      <c r="O247" s="253" t="s">
        <v>673</v>
      </c>
    </row>
    <row r="248" spans="1:16" s="253" customFormat="1" x14ac:dyDescent="0.25"/>
    <row r="249" spans="1:16" s="253" customFormat="1" x14ac:dyDescent="0.25"/>
    <row r="250" spans="1:16" s="253" customFormat="1" x14ac:dyDescent="0.25"/>
    <row r="251" spans="1:16" s="253" customFormat="1" x14ac:dyDescent="0.25"/>
    <row r="252" spans="1:16" s="253" customFormat="1" x14ac:dyDescent="0.25"/>
    <row r="253" spans="1:16" s="253" customFormat="1" x14ac:dyDescent="0.25"/>
    <row r="254" spans="1:16" s="253" customFormat="1" x14ac:dyDescent="0.25"/>
    <row r="255" spans="1:16" s="253" customFormat="1" x14ac:dyDescent="0.25"/>
    <row r="256" spans="1:16" s="253" customFormat="1" x14ac:dyDescent="0.25"/>
    <row r="257" s="253" customFormat="1" x14ac:dyDescent="0.25"/>
    <row r="258" s="253" customFormat="1" x14ac:dyDescent="0.25"/>
    <row r="259" s="253" customFormat="1" x14ac:dyDescent="0.25"/>
    <row r="260" s="253" customFormat="1" x14ac:dyDescent="0.25"/>
    <row r="261" s="253" customFormat="1" x14ac:dyDescent="0.25"/>
    <row r="262" s="253" customFormat="1" x14ac:dyDescent="0.25"/>
    <row r="263" s="253" customFormat="1" x14ac:dyDescent="0.25"/>
    <row r="264" s="253" customFormat="1" x14ac:dyDescent="0.25"/>
    <row r="265" s="253" customFormat="1" x14ac:dyDescent="0.25"/>
    <row r="266" s="253" customFormat="1" x14ac:dyDescent="0.25"/>
    <row r="267" s="253" customFormat="1" x14ac:dyDescent="0.25"/>
    <row r="268" s="253" customFormat="1" x14ac:dyDescent="0.25"/>
    <row r="269" s="253" customFormat="1" x14ac:dyDescent="0.25"/>
    <row r="270" s="253" customFormat="1" x14ac:dyDescent="0.25"/>
    <row r="271" s="253" customFormat="1" x14ac:dyDescent="0.25"/>
    <row r="272" s="253" customFormat="1" x14ac:dyDescent="0.25"/>
    <row r="273" s="253" customFormat="1" x14ac:dyDescent="0.25"/>
    <row r="274" s="253" customFormat="1" x14ac:dyDescent="0.25"/>
    <row r="275" s="253" customFormat="1" x14ac:dyDescent="0.25"/>
    <row r="276" s="253" customFormat="1" x14ac:dyDescent="0.25"/>
    <row r="277" s="253" customFormat="1" x14ac:dyDescent="0.25"/>
    <row r="278" s="253" customFormat="1" x14ac:dyDescent="0.25"/>
    <row r="279" s="253" customFormat="1" x14ac:dyDescent="0.25"/>
    <row r="280" s="253" customFormat="1" x14ac:dyDescent="0.25"/>
    <row r="281" s="253" customFormat="1" x14ac:dyDescent="0.25"/>
    <row r="282" s="253" customFormat="1" x14ac:dyDescent="0.25"/>
    <row r="283" s="253" customFormat="1" x14ac:dyDescent="0.25"/>
    <row r="284" s="253" customFormat="1" x14ac:dyDescent="0.25"/>
    <row r="285" s="253" customFormat="1" x14ac:dyDescent="0.25"/>
    <row r="286" s="253" customFormat="1" x14ac:dyDescent="0.25"/>
    <row r="287" s="253" customFormat="1" x14ac:dyDescent="0.25"/>
    <row r="288" s="253" customFormat="1" x14ac:dyDescent="0.25"/>
    <row r="289" s="253" customFormat="1" x14ac:dyDescent="0.25"/>
    <row r="290" s="253" customFormat="1" x14ac:dyDescent="0.25"/>
    <row r="291" s="253" customFormat="1" x14ac:dyDescent="0.25"/>
    <row r="292" s="253" customFormat="1" x14ac:dyDescent="0.25"/>
    <row r="293" s="253" customFormat="1" x14ac:dyDescent="0.25"/>
    <row r="294" s="253" customFormat="1" x14ac:dyDescent="0.25"/>
    <row r="295" s="253" customFormat="1" x14ac:dyDescent="0.25"/>
    <row r="296" s="253" customFormat="1" x14ac:dyDescent="0.25"/>
    <row r="297" s="253" customFormat="1" x14ac:dyDescent="0.25"/>
    <row r="298" s="253" customFormat="1" x14ac:dyDescent="0.25"/>
    <row r="299" s="253" customFormat="1" x14ac:dyDescent="0.25"/>
    <row r="300" s="253" customFormat="1" x14ac:dyDescent="0.25"/>
    <row r="301" s="253" customFormat="1" x14ac:dyDescent="0.25"/>
    <row r="302" s="253" customFormat="1" x14ac:dyDescent="0.25"/>
    <row r="303" s="253" customFormat="1" x14ac:dyDescent="0.25"/>
    <row r="304" s="253" customFormat="1" x14ac:dyDescent="0.25"/>
    <row r="305" s="253" customFormat="1" x14ac:dyDescent="0.25"/>
    <row r="306" s="253" customFormat="1" x14ac:dyDescent="0.25"/>
    <row r="307" s="253" customFormat="1" x14ac:dyDescent="0.25"/>
    <row r="308" s="253" customFormat="1" x14ac:dyDescent="0.25"/>
    <row r="309" s="253" customFormat="1" x14ac:dyDescent="0.25"/>
    <row r="310" s="253" customFormat="1" x14ac:dyDescent="0.25"/>
    <row r="311" s="253" customFormat="1" x14ac:dyDescent="0.25"/>
    <row r="312" s="253" customFormat="1" x14ac:dyDescent="0.25"/>
    <row r="313" s="253" customFormat="1" x14ac:dyDescent="0.25"/>
    <row r="314" s="253" customFormat="1" x14ac:dyDescent="0.25"/>
    <row r="315" s="253" customFormat="1" x14ac:dyDescent="0.25"/>
    <row r="316" s="253" customFormat="1" x14ac:dyDescent="0.25"/>
    <row r="317" s="253" customFormat="1" x14ac:dyDescent="0.25"/>
    <row r="318" s="253" customFormat="1" x14ac:dyDescent="0.25"/>
    <row r="319" s="253" customFormat="1" x14ac:dyDescent="0.25"/>
    <row r="320" s="253" customFormat="1" x14ac:dyDescent="0.25"/>
    <row r="321" s="253" customFormat="1" x14ac:dyDescent="0.25"/>
    <row r="322" s="253" customFormat="1" x14ac:dyDescent="0.25"/>
    <row r="323" s="253" customFormat="1" x14ac:dyDescent="0.25"/>
    <row r="324" s="253" customFormat="1" x14ac:dyDescent="0.25"/>
    <row r="325" s="253" customFormat="1" x14ac:dyDescent="0.25"/>
    <row r="326" s="253" customFormat="1" x14ac:dyDescent="0.25"/>
    <row r="327" s="253" customFormat="1" x14ac:dyDescent="0.25"/>
    <row r="328" s="253" customFormat="1" x14ac:dyDescent="0.25"/>
    <row r="329" s="253" customFormat="1" x14ac:dyDescent="0.25"/>
    <row r="330" s="253" customFormat="1" x14ac:dyDescent="0.25"/>
    <row r="331" s="253" customFormat="1" x14ac:dyDescent="0.25"/>
    <row r="332" s="253" customFormat="1" x14ac:dyDescent="0.25"/>
    <row r="333" s="253" customFormat="1" x14ac:dyDescent="0.25"/>
    <row r="334" s="253" customFormat="1" x14ac:dyDescent="0.25"/>
    <row r="335" s="253" customFormat="1" x14ac:dyDescent="0.25"/>
    <row r="336" s="253" customFormat="1" x14ac:dyDescent="0.25"/>
    <row r="337" s="253" customFormat="1" x14ac:dyDescent="0.25"/>
    <row r="338" s="253" customFormat="1" x14ac:dyDescent="0.25"/>
    <row r="339" s="253" customFormat="1" x14ac:dyDescent="0.25"/>
    <row r="340" s="253" customFormat="1" x14ac:dyDescent="0.25"/>
    <row r="341" s="253" customFormat="1" x14ac:dyDescent="0.25"/>
    <row r="342" s="253" customFormat="1" x14ac:dyDescent="0.25"/>
    <row r="343" s="253" customFormat="1" x14ac:dyDescent="0.25"/>
    <row r="344" s="253" customFormat="1" x14ac:dyDescent="0.25"/>
    <row r="345" s="253" customFormat="1" x14ac:dyDescent="0.25"/>
    <row r="346" s="253" customFormat="1" x14ac:dyDescent="0.25"/>
    <row r="347" s="253" customFormat="1" x14ac:dyDescent="0.25"/>
    <row r="348" s="253" customFormat="1" x14ac:dyDescent="0.25"/>
    <row r="349" s="253" customFormat="1" x14ac:dyDescent="0.25"/>
    <row r="350" s="253" customFormat="1" x14ac:dyDescent="0.25"/>
    <row r="351" s="253" customFormat="1" x14ac:dyDescent="0.25"/>
    <row r="352" s="253" customFormat="1" x14ac:dyDescent="0.25"/>
    <row r="353" s="253" customFormat="1" x14ac:dyDescent="0.25"/>
    <row r="354" s="253" customFormat="1" x14ac:dyDescent="0.25"/>
    <row r="355" s="253" customFormat="1" x14ac:dyDescent="0.25"/>
    <row r="356" s="253" customFormat="1" x14ac:dyDescent="0.25"/>
    <row r="357" s="253" customFormat="1" x14ac:dyDescent="0.25"/>
    <row r="358" s="253" customFormat="1" x14ac:dyDescent="0.25"/>
    <row r="359" s="253" customFormat="1" x14ac:dyDescent="0.25"/>
    <row r="360" s="253" customFormat="1" x14ac:dyDescent="0.25"/>
    <row r="361" s="253" customFormat="1" x14ac:dyDescent="0.25"/>
    <row r="362" s="253" customFormat="1" x14ac:dyDescent="0.25"/>
    <row r="363" s="253" customFormat="1" x14ac:dyDescent="0.25"/>
    <row r="364" s="253" customFormat="1" x14ac:dyDescent="0.25"/>
    <row r="365" s="253" customFormat="1" x14ac:dyDescent="0.25"/>
    <row r="366" s="253" customFormat="1" x14ac:dyDescent="0.25"/>
    <row r="367" s="253" customFormat="1" x14ac:dyDescent="0.25"/>
    <row r="368" s="253" customFormat="1" x14ac:dyDescent="0.25"/>
    <row r="369" s="253" customFormat="1" x14ac:dyDescent="0.25"/>
    <row r="370" s="253" customFormat="1" x14ac:dyDescent="0.25"/>
    <row r="371" s="253" customFormat="1" x14ac:dyDescent="0.25"/>
    <row r="372" s="253" customFormat="1" x14ac:dyDescent="0.25"/>
    <row r="373" s="253" customFormat="1" x14ac:dyDescent="0.25"/>
    <row r="374" s="253" customFormat="1" x14ac:dyDescent="0.25"/>
    <row r="375" s="253" customFormat="1" x14ac:dyDescent="0.25"/>
    <row r="376" s="253" customFormat="1" x14ac:dyDescent="0.25"/>
    <row r="377" s="253" customFormat="1" x14ac:dyDescent="0.25"/>
    <row r="378" s="253" customFormat="1" x14ac:dyDescent="0.25"/>
    <row r="379" s="253" customFormat="1" x14ac:dyDescent="0.25"/>
    <row r="380" s="253" customFormat="1" x14ac:dyDescent="0.25"/>
    <row r="381" s="253" customFormat="1" x14ac:dyDescent="0.25"/>
    <row r="382" s="253" customFormat="1" x14ac:dyDescent="0.25"/>
    <row r="383" s="253" customFormat="1" x14ac:dyDescent="0.25"/>
    <row r="384" s="253" customFormat="1" x14ac:dyDescent="0.25"/>
    <row r="385" s="253" customFormat="1" x14ac:dyDescent="0.25"/>
    <row r="386" s="253" customFormat="1" x14ac:dyDescent="0.25"/>
    <row r="387" s="253" customFormat="1" x14ac:dyDescent="0.25"/>
    <row r="388" s="253" customFormat="1" x14ac:dyDescent="0.25"/>
    <row r="389" s="253" customFormat="1" x14ac:dyDescent="0.25"/>
    <row r="390" s="253" customFormat="1" x14ac:dyDescent="0.25"/>
    <row r="391" s="253" customFormat="1" x14ac:dyDescent="0.25"/>
    <row r="392" s="253" customFormat="1" x14ac:dyDescent="0.25"/>
    <row r="393" s="253" customFormat="1" x14ac:dyDescent="0.25"/>
    <row r="394" s="253" customFormat="1" x14ac:dyDescent="0.25"/>
    <row r="395" s="253" customFormat="1" x14ac:dyDescent="0.25"/>
  </sheetData>
  <mergeCells count="4">
    <mergeCell ref="B4:L4"/>
    <mergeCell ref="P4:Z4"/>
    <mergeCell ref="B105:L105"/>
    <mergeCell ref="P105:Z105"/>
  </mergeCells>
  <phoneticPr fontId="7" type="noConversion"/>
  <pageMargins left="0.7" right="0.7" top="0.75" bottom="0.75" header="0.3" footer="0.3"/>
  <pageSetup orientation="portrait" horizontalDpi="360" verticalDpi="36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F125"/>
  <sheetViews>
    <sheetView workbookViewId="0">
      <selection activeCell="D5" sqref="D5"/>
    </sheetView>
  </sheetViews>
  <sheetFormatPr baseColWidth="10" defaultRowHeight="15" x14ac:dyDescent="0.25"/>
  <cols>
    <col min="2" max="2" width="15" bestFit="1" customWidth="1"/>
    <col min="3" max="3" width="15.28515625" bestFit="1" customWidth="1"/>
    <col min="4" max="4" width="22.140625" customWidth="1"/>
    <col min="5" max="5" width="16.85546875" bestFit="1" customWidth="1"/>
    <col min="6" max="6" width="14.42578125" bestFit="1" customWidth="1"/>
    <col min="7" max="7" width="17.85546875" bestFit="1" customWidth="1"/>
    <col min="8" max="8" width="15" bestFit="1" customWidth="1"/>
    <col min="9" max="9" width="14.42578125" bestFit="1" customWidth="1"/>
    <col min="10" max="10" width="17.85546875" bestFit="1" customWidth="1"/>
    <col min="11" max="11" width="15" bestFit="1" customWidth="1"/>
    <col min="12" max="12" width="14.42578125" bestFit="1" customWidth="1"/>
    <col min="13" max="13" width="18.85546875" bestFit="1" customWidth="1"/>
    <col min="14" max="14" width="19" bestFit="1" customWidth="1"/>
    <col min="15" max="15" width="19.42578125" bestFit="1" customWidth="1"/>
    <col min="16" max="17" width="17.85546875" bestFit="1" customWidth="1"/>
    <col min="18" max="32" width="15.28515625" customWidth="1"/>
  </cols>
  <sheetData>
    <row r="2" spans="1:32" x14ac:dyDescent="0.25">
      <c r="A2" s="56" t="s">
        <v>667</v>
      </c>
      <c r="B2" s="56"/>
    </row>
    <row r="3" spans="1:32" s="253" customFormat="1" x14ac:dyDescent="0.25">
      <c r="D3" s="270"/>
    </row>
    <row r="4" spans="1:32" s="253" customFormat="1" x14ac:dyDescent="0.25">
      <c r="A4" s="381"/>
      <c r="B4" s="242" t="s">
        <v>26</v>
      </c>
      <c r="C4" s="242"/>
      <c r="D4" s="241">
        <v>300</v>
      </c>
      <c r="E4" s="242" t="s">
        <v>21</v>
      </c>
      <c r="F4" s="253" t="s">
        <v>58</v>
      </c>
    </row>
    <row r="5" spans="1:32" s="253" customFormat="1" x14ac:dyDescent="0.25">
      <c r="A5" s="381"/>
      <c r="B5" s="242" t="s">
        <v>27</v>
      </c>
      <c r="C5" s="242"/>
      <c r="D5" s="241">
        <v>300</v>
      </c>
      <c r="E5" s="242" t="s">
        <v>21</v>
      </c>
      <c r="F5" s="253" t="s">
        <v>58</v>
      </c>
    </row>
    <row r="6" spans="1:32" s="253" customFormat="1" x14ac:dyDescent="0.25">
      <c r="A6" s="381"/>
      <c r="B6" s="242" t="s">
        <v>28</v>
      </c>
      <c r="C6" s="242"/>
      <c r="D6" s="241">
        <v>200</v>
      </c>
      <c r="E6" s="242" t="s">
        <v>21</v>
      </c>
      <c r="F6" s="253" t="s">
        <v>58</v>
      </c>
    </row>
    <row r="7" spans="1:32" s="253" customFormat="1" x14ac:dyDescent="0.25">
      <c r="A7" s="381"/>
      <c r="B7" s="242" t="s">
        <v>29</v>
      </c>
      <c r="C7" s="242"/>
      <c r="D7" s="241">
        <v>400</v>
      </c>
      <c r="E7" s="242" t="s">
        <v>21</v>
      </c>
      <c r="F7" s="253" t="s">
        <v>58</v>
      </c>
    </row>
    <row r="8" spans="1:32" s="253" customFormat="1" x14ac:dyDescent="0.25">
      <c r="A8" s="381"/>
      <c r="B8" s="242" t="s">
        <v>30</v>
      </c>
      <c r="C8" s="242" t="s">
        <v>34</v>
      </c>
      <c r="D8" s="242">
        <v>2.5</v>
      </c>
      <c r="E8" s="242" t="s">
        <v>22</v>
      </c>
      <c r="F8" s="253" t="s">
        <v>58</v>
      </c>
    </row>
    <row r="9" spans="1:32" s="253" customFormat="1" x14ac:dyDescent="0.25">
      <c r="A9" s="381"/>
      <c r="B9" s="242" t="s">
        <v>31</v>
      </c>
      <c r="C9" s="242" t="s">
        <v>762</v>
      </c>
      <c r="D9" s="242">
        <v>1600</v>
      </c>
      <c r="E9" s="242" t="s">
        <v>21</v>
      </c>
      <c r="F9" s="253" t="s">
        <v>58</v>
      </c>
    </row>
    <row r="10" spans="1:32" s="253" customFormat="1" x14ac:dyDescent="0.25">
      <c r="A10" s="381"/>
      <c r="B10" s="242" t="s">
        <v>32</v>
      </c>
      <c r="C10" s="242"/>
      <c r="D10" s="382">
        <v>2</v>
      </c>
      <c r="E10" s="242" t="s">
        <v>21</v>
      </c>
      <c r="F10" s="253" t="s">
        <v>58</v>
      </c>
    </row>
    <row r="11" spans="1:32" s="253" customFormat="1" x14ac:dyDescent="0.25">
      <c r="A11" s="381"/>
      <c r="B11" s="242" t="s">
        <v>33</v>
      </c>
      <c r="C11" s="242" t="s">
        <v>173</v>
      </c>
      <c r="D11" s="242">
        <v>5</v>
      </c>
      <c r="E11" s="242"/>
      <c r="F11" s="253" t="s">
        <v>58</v>
      </c>
    </row>
    <row r="12" spans="1:32" s="253" customFormat="1" x14ac:dyDescent="0.25">
      <c r="A12" s="381"/>
    </row>
    <row r="13" spans="1:32" s="253" customFormat="1" x14ac:dyDescent="0.25">
      <c r="A13" s="381"/>
    </row>
    <row r="14" spans="1:32" s="270" customFormat="1" x14ac:dyDescent="0.25">
      <c r="A14" s="381"/>
      <c r="B14" s="265" t="s">
        <v>24</v>
      </c>
      <c r="C14" s="265" t="s">
        <v>25</v>
      </c>
      <c r="D14" s="265" t="s">
        <v>40</v>
      </c>
      <c r="E14" s="265" t="s">
        <v>42</v>
      </c>
      <c r="F14" s="265" t="s">
        <v>41</v>
      </c>
      <c r="G14" s="265" t="s">
        <v>43</v>
      </c>
      <c r="H14" s="265" t="s">
        <v>44</v>
      </c>
      <c r="I14" s="265" t="s">
        <v>45</v>
      </c>
      <c r="J14" s="265" t="s">
        <v>46</v>
      </c>
      <c r="K14" s="265" t="s">
        <v>47</v>
      </c>
      <c r="L14" s="265" t="s">
        <v>48</v>
      </c>
      <c r="M14" s="265" t="s">
        <v>49</v>
      </c>
      <c r="N14" s="265" t="s">
        <v>50</v>
      </c>
      <c r="O14" s="265" t="s">
        <v>51</v>
      </c>
      <c r="P14" s="265" t="s">
        <v>57</v>
      </c>
      <c r="AD14" s="265"/>
      <c r="AE14" s="265"/>
      <c r="AF14" s="265"/>
    </row>
    <row r="15" spans="1:32" s="270" customFormat="1" x14ac:dyDescent="0.25">
      <c r="B15" s="265"/>
      <c r="C15" s="265"/>
      <c r="D15" s="265" t="s">
        <v>56</v>
      </c>
      <c r="E15" s="265" t="s">
        <v>21</v>
      </c>
      <c r="F15" s="265" t="s">
        <v>6</v>
      </c>
      <c r="G15" s="265" t="s">
        <v>56</v>
      </c>
      <c r="H15" s="265" t="s">
        <v>21</v>
      </c>
      <c r="I15" s="265" t="s">
        <v>6</v>
      </c>
      <c r="J15" s="265" t="s">
        <v>56</v>
      </c>
      <c r="K15" s="265" t="s">
        <v>21</v>
      </c>
      <c r="L15" s="265" t="s">
        <v>6</v>
      </c>
      <c r="M15" s="265" t="s">
        <v>56</v>
      </c>
      <c r="N15" s="265" t="s">
        <v>21</v>
      </c>
      <c r="O15" s="265" t="s">
        <v>6</v>
      </c>
      <c r="P15" s="265" t="s">
        <v>6</v>
      </c>
      <c r="AD15" s="265"/>
      <c r="AE15" s="265"/>
      <c r="AF15" s="265"/>
    </row>
    <row r="16" spans="1:32" s="253" customFormat="1" x14ac:dyDescent="0.25">
      <c r="B16" s="253">
        <f>General!$D$3+C16</f>
        <v>2024</v>
      </c>
      <c r="C16" s="253">
        <v>0</v>
      </c>
      <c r="D16" s="242">
        <v>0</v>
      </c>
      <c r="E16" s="381">
        <f>$D$4</f>
        <v>300</v>
      </c>
      <c r="F16" s="383">
        <f>D16*E16</f>
        <v>0</v>
      </c>
      <c r="G16" s="242">
        <v>0</v>
      </c>
      <c r="H16" s="253">
        <f t="shared" ref="H16:H26" si="0">$D$5</f>
        <v>300</v>
      </c>
      <c r="I16" s="383">
        <f>G16*H16</f>
        <v>0</v>
      </c>
      <c r="J16" s="242">
        <v>0</v>
      </c>
      <c r="K16" s="381">
        <f>$D$6</f>
        <v>200</v>
      </c>
      <c r="L16" s="383">
        <f>J16*K16</f>
        <v>0</v>
      </c>
      <c r="M16" s="242">
        <v>0</v>
      </c>
      <c r="N16" s="381">
        <f>$D$7</f>
        <v>400</v>
      </c>
      <c r="O16" s="383">
        <f>M16*N16</f>
        <v>0</v>
      </c>
      <c r="P16" s="375">
        <f t="shared" ref="P16:P26" si="1">F16+I16+L16+O16</f>
        <v>0</v>
      </c>
      <c r="AD16" s="383"/>
      <c r="AE16" s="383"/>
      <c r="AF16" s="383"/>
    </row>
    <row r="17" spans="2:32" s="253" customFormat="1" x14ac:dyDescent="0.25">
      <c r="B17" s="253">
        <f>General!$D$3+C17</f>
        <v>2025</v>
      </c>
      <c r="C17" s="253">
        <v>1</v>
      </c>
      <c r="D17" s="384">
        <v>1099.0064227084379</v>
      </c>
      <c r="E17" s="381">
        <f t="shared" ref="E17:E26" si="2">$D$4</f>
        <v>300</v>
      </c>
      <c r="F17" s="383">
        <f>D17*E17</f>
        <v>329701.92681253137</v>
      </c>
      <c r="G17" s="241">
        <v>984</v>
      </c>
      <c r="H17" s="253">
        <f t="shared" si="0"/>
        <v>300</v>
      </c>
      <c r="I17" s="383">
        <f t="shared" ref="I17:I26" si="3">G17*H17</f>
        <v>295200</v>
      </c>
      <c r="J17" s="242">
        <v>2390</v>
      </c>
      <c r="K17" s="381">
        <f t="shared" ref="K17:K26" si="4">$D$6</f>
        <v>200</v>
      </c>
      <c r="L17" s="383">
        <f t="shared" ref="L17:L26" si="5">J17*K17</f>
        <v>478000</v>
      </c>
      <c r="M17" s="242">
        <v>573</v>
      </c>
      <c r="N17" s="381">
        <f t="shared" ref="N17:N26" si="6">$D$7</f>
        <v>400</v>
      </c>
      <c r="O17" s="383">
        <f t="shared" ref="O17:O26" si="7">M17*N17</f>
        <v>229200</v>
      </c>
      <c r="P17" s="375">
        <f>F17+I17+L17+O17</f>
        <v>1332101.9268125314</v>
      </c>
      <c r="AD17" s="383"/>
      <c r="AE17" s="383"/>
      <c r="AF17" s="383"/>
    </row>
    <row r="18" spans="2:32" s="253" customFormat="1" x14ac:dyDescent="0.25">
      <c r="B18" s="253">
        <f>General!$D$3+C18</f>
        <v>2026</v>
      </c>
      <c r="C18" s="253">
        <v>2</v>
      </c>
      <c r="D18" s="384">
        <v>1902.9903800143379</v>
      </c>
      <c r="E18" s="381">
        <f t="shared" si="2"/>
        <v>300</v>
      </c>
      <c r="F18" s="383">
        <f t="shared" ref="F18:F26" si="8">D18*E18</f>
        <v>570897.11400430137</v>
      </c>
      <c r="G18" s="241">
        <v>984</v>
      </c>
      <c r="H18" s="253">
        <f t="shared" si="0"/>
        <v>300</v>
      </c>
      <c r="I18" s="383">
        <f t="shared" si="3"/>
        <v>295200</v>
      </c>
      <c r="J18" s="242">
        <v>2680</v>
      </c>
      <c r="K18" s="381">
        <f t="shared" si="4"/>
        <v>200</v>
      </c>
      <c r="L18" s="383">
        <f t="shared" si="5"/>
        <v>536000</v>
      </c>
      <c r="M18" s="242">
        <v>573</v>
      </c>
      <c r="N18" s="381">
        <f t="shared" si="6"/>
        <v>400</v>
      </c>
      <c r="O18" s="383">
        <f t="shared" si="7"/>
        <v>229200</v>
      </c>
      <c r="P18" s="375">
        <f t="shared" si="1"/>
        <v>1631297.1140043014</v>
      </c>
      <c r="AD18" s="383"/>
      <c r="AE18" s="383"/>
      <c r="AF18" s="383"/>
    </row>
    <row r="19" spans="2:32" s="253" customFormat="1" x14ac:dyDescent="0.25">
      <c r="B19" s="253">
        <f>General!$D$3+C19</f>
        <v>2027</v>
      </c>
      <c r="C19" s="253">
        <v>3</v>
      </c>
      <c r="D19" s="384">
        <v>2706.9743373202382</v>
      </c>
      <c r="E19" s="381">
        <f t="shared" si="2"/>
        <v>300</v>
      </c>
      <c r="F19" s="383">
        <f t="shared" si="8"/>
        <v>812092.30119607144</v>
      </c>
      <c r="G19" s="241">
        <v>984</v>
      </c>
      <c r="H19" s="253">
        <f t="shared" si="0"/>
        <v>300</v>
      </c>
      <c r="I19" s="383">
        <f t="shared" si="3"/>
        <v>295200</v>
      </c>
      <c r="J19" s="242">
        <v>2970</v>
      </c>
      <c r="K19" s="381">
        <f t="shared" si="4"/>
        <v>200</v>
      </c>
      <c r="L19" s="383">
        <f t="shared" si="5"/>
        <v>594000</v>
      </c>
      <c r="M19" s="242">
        <v>573</v>
      </c>
      <c r="N19" s="381">
        <f t="shared" si="6"/>
        <v>400</v>
      </c>
      <c r="O19" s="383">
        <f t="shared" si="7"/>
        <v>229200</v>
      </c>
      <c r="P19" s="375">
        <f t="shared" si="1"/>
        <v>1930492.3011960713</v>
      </c>
      <c r="AD19" s="383"/>
      <c r="AE19" s="383"/>
      <c r="AF19" s="383"/>
    </row>
    <row r="20" spans="2:32" s="253" customFormat="1" x14ac:dyDescent="0.25">
      <c r="B20" s="253">
        <f>General!$D$3+C20</f>
        <v>2028</v>
      </c>
      <c r="C20" s="253">
        <v>4</v>
      </c>
      <c r="D20" s="384">
        <v>3510.958294626138</v>
      </c>
      <c r="E20" s="381">
        <f t="shared" si="2"/>
        <v>300</v>
      </c>
      <c r="F20" s="383">
        <f t="shared" si="8"/>
        <v>1053287.4883878415</v>
      </c>
      <c r="G20" s="241">
        <v>984</v>
      </c>
      <c r="H20" s="253">
        <f t="shared" si="0"/>
        <v>300</v>
      </c>
      <c r="I20" s="383">
        <f t="shared" si="3"/>
        <v>295200</v>
      </c>
      <c r="J20" s="242">
        <v>3260</v>
      </c>
      <c r="K20" s="381">
        <f t="shared" si="4"/>
        <v>200</v>
      </c>
      <c r="L20" s="383">
        <f t="shared" si="5"/>
        <v>652000</v>
      </c>
      <c r="M20" s="242">
        <v>573</v>
      </c>
      <c r="N20" s="381">
        <f t="shared" si="6"/>
        <v>400</v>
      </c>
      <c r="O20" s="383">
        <f t="shared" si="7"/>
        <v>229200</v>
      </c>
      <c r="P20" s="375">
        <f t="shared" si="1"/>
        <v>2229687.4883878417</v>
      </c>
      <c r="AD20" s="383"/>
      <c r="AE20" s="383"/>
      <c r="AF20" s="383"/>
    </row>
    <row r="21" spans="2:32" s="253" customFormat="1" x14ac:dyDescent="0.25">
      <c r="B21" s="253">
        <f>General!$D$3+C21</f>
        <v>2029</v>
      </c>
      <c r="C21" s="253">
        <v>5</v>
      </c>
      <c r="D21" s="384">
        <v>4314.9422519320378</v>
      </c>
      <c r="E21" s="381">
        <f t="shared" si="2"/>
        <v>300</v>
      </c>
      <c r="F21" s="383">
        <f t="shared" si="8"/>
        <v>1294482.6755796114</v>
      </c>
      <c r="G21" s="241">
        <v>984</v>
      </c>
      <c r="H21" s="253">
        <f t="shared" si="0"/>
        <v>300</v>
      </c>
      <c r="I21" s="383">
        <f t="shared" si="3"/>
        <v>295200</v>
      </c>
      <c r="J21" s="242">
        <v>3550</v>
      </c>
      <c r="K21" s="381">
        <f t="shared" si="4"/>
        <v>200</v>
      </c>
      <c r="L21" s="383">
        <f t="shared" si="5"/>
        <v>710000</v>
      </c>
      <c r="M21" s="242">
        <v>573</v>
      </c>
      <c r="N21" s="381">
        <f t="shared" si="6"/>
        <v>400</v>
      </c>
      <c r="O21" s="383">
        <f t="shared" si="7"/>
        <v>229200</v>
      </c>
      <c r="P21" s="375">
        <f t="shared" si="1"/>
        <v>2528882.6755796112</v>
      </c>
      <c r="AD21" s="383"/>
      <c r="AE21" s="383"/>
      <c r="AF21" s="383"/>
    </row>
    <row r="22" spans="2:32" s="253" customFormat="1" x14ac:dyDescent="0.25">
      <c r="B22" s="253">
        <f>General!$D$3+C22</f>
        <v>2030</v>
      </c>
      <c r="C22" s="253">
        <v>6</v>
      </c>
      <c r="D22" s="384">
        <v>5118.9262092379377</v>
      </c>
      <c r="E22" s="381">
        <f t="shared" si="2"/>
        <v>300</v>
      </c>
      <c r="F22" s="383">
        <f t="shared" si="8"/>
        <v>1535677.8627713814</v>
      </c>
      <c r="G22" s="241">
        <v>984</v>
      </c>
      <c r="H22" s="253">
        <f t="shared" si="0"/>
        <v>300</v>
      </c>
      <c r="I22" s="383">
        <f t="shared" si="3"/>
        <v>295200</v>
      </c>
      <c r="J22" s="242">
        <v>3840</v>
      </c>
      <c r="K22" s="381">
        <f t="shared" si="4"/>
        <v>200</v>
      </c>
      <c r="L22" s="383">
        <f t="shared" si="5"/>
        <v>768000</v>
      </c>
      <c r="M22" s="242">
        <v>573</v>
      </c>
      <c r="N22" s="381">
        <f t="shared" si="6"/>
        <v>400</v>
      </c>
      <c r="O22" s="383">
        <f t="shared" si="7"/>
        <v>229200</v>
      </c>
      <c r="P22" s="375">
        <f t="shared" si="1"/>
        <v>2828077.8627713816</v>
      </c>
      <c r="AD22" s="383"/>
      <c r="AE22" s="383"/>
      <c r="AF22" s="383"/>
    </row>
    <row r="23" spans="2:32" s="253" customFormat="1" x14ac:dyDescent="0.25">
      <c r="B23" s="253">
        <f>General!$D$3+C23</f>
        <v>2031</v>
      </c>
      <c r="C23" s="253">
        <v>7</v>
      </c>
      <c r="D23" s="384">
        <v>5922.9101665438375</v>
      </c>
      <c r="E23" s="381">
        <f t="shared" si="2"/>
        <v>300</v>
      </c>
      <c r="F23" s="383">
        <f t="shared" si="8"/>
        <v>1776873.0499631513</v>
      </c>
      <c r="G23" s="241">
        <v>984</v>
      </c>
      <c r="H23" s="253">
        <f t="shared" si="0"/>
        <v>300</v>
      </c>
      <c r="I23" s="383">
        <f t="shared" si="3"/>
        <v>295200</v>
      </c>
      <c r="J23" s="242">
        <v>4130</v>
      </c>
      <c r="K23" s="381">
        <f t="shared" si="4"/>
        <v>200</v>
      </c>
      <c r="L23" s="383">
        <f t="shared" si="5"/>
        <v>826000</v>
      </c>
      <c r="M23" s="242">
        <v>573</v>
      </c>
      <c r="N23" s="381">
        <f t="shared" si="6"/>
        <v>400</v>
      </c>
      <c r="O23" s="383">
        <f t="shared" si="7"/>
        <v>229200</v>
      </c>
      <c r="P23" s="375">
        <f t="shared" si="1"/>
        <v>3127273.0499631511</v>
      </c>
      <c r="AD23" s="383"/>
      <c r="AE23" s="383"/>
      <c r="AF23" s="383"/>
    </row>
    <row r="24" spans="2:32" s="253" customFormat="1" x14ac:dyDescent="0.25">
      <c r="B24" s="253">
        <f>General!$D$3+C24</f>
        <v>2032</v>
      </c>
      <c r="C24" s="253">
        <v>8</v>
      </c>
      <c r="D24" s="384">
        <v>6726.8941238497373</v>
      </c>
      <c r="E24" s="381">
        <f t="shared" si="2"/>
        <v>300</v>
      </c>
      <c r="F24" s="383">
        <f t="shared" si="8"/>
        <v>2018068.2371549213</v>
      </c>
      <c r="G24" s="241">
        <v>984</v>
      </c>
      <c r="H24" s="253">
        <f t="shared" si="0"/>
        <v>300</v>
      </c>
      <c r="I24" s="383">
        <f t="shared" si="3"/>
        <v>295200</v>
      </c>
      <c r="J24" s="242">
        <v>4420</v>
      </c>
      <c r="K24" s="381">
        <f t="shared" si="4"/>
        <v>200</v>
      </c>
      <c r="L24" s="383">
        <f t="shared" si="5"/>
        <v>884000</v>
      </c>
      <c r="M24" s="242">
        <v>573</v>
      </c>
      <c r="N24" s="381">
        <f t="shared" si="6"/>
        <v>400</v>
      </c>
      <c r="O24" s="383">
        <f t="shared" si="7"/>
        <v>229200</v>
      </c>
      <c r="P24" s="375">
        <f t="shared" si="1"/>
        <v>3426468.2371549215</v>
      </c>
      <c r="AD24" s="383"/>
      <c r="AE24" s="383"/>
      <c r="AF24" s="383"/>
    </row>
    <row r="25" spans="2:32" s="253" customFormat="1" x14ac:dyDescent="0.25">
      <c r="B25" s="253">
        <f>General!$D$3+C25</f>
        <v>2033</v>
      </c>
      <c r="C25" s="253">
        <v>9</v>
      </c>
      <c r="D25" s="384">
        <v>7530.8780811556371</v>
      </c>
      <c r="E25" s="381">
        <f t="shared" si="2"/>
        <v>300</v>
      </c>
      <c r="F25" s="383">
        <f t="shared" si="8"/>
        <v>2259263.424346691</v>
      </c>
      <c r="G25" s="241">
        <v>984</v>
      </c>
      <c r="H25" s="253">
        <f t="shared" si="0"/>
        <v>300</v>
      </c>
      <c r="I25" s="383">
        <f t="shared" si="3"/>
        <v>295200</v>
      </c>
      <c r="J25" s="242">
        <v>4710</v>
      </c>
      <c r="K25" s="381">
        <f t="shared" si="4"/>
        <v>200</v>
      </c>
      <c r="L25" s="383">
        <f t="shared" si="5"/>
        <v>942000</v>
      </c>
      <c r="M25" s="242">
        <v>573</v>
      </c>
      <c r="N25" s="381">
        <f t="shared" si="6"/>
        <v>400</v>
      </c>
      <c r="O25" s="383">
        <f t="shared" si="7"/>
        <v>229200</v>
      </c>
      <c r="P25" s="375">
        <f t="shared" si="1"/>
        <v>3725663.424346691</v>
      </c>
      <c r="AD25" s="383"/>
      <c r="AE25" s="383"/>
      <c r="AF25" s="383"/>
    </row>
    <row r="26" spans="2:32" s="253" customFormat="1" x14ac:dyDescent="0.25">
      <c r="B26" s="253">
        <f>General!$D$3+C26</f>
        <v>2034</v>
      </c>
      <c r="C26" s="253">
        <v>10</v>
      </c>
      <c r="D26" s="384">
        <v>8334.8620384615406</v>
      </c>
      <c r="E26" s="381">
        <f t="shared" si="2"/>
        <v>300</v>
      </c>
      <c r="F26" s="383">
        <f t="shared" si="8"/>
        <v>2500458.6115384623</v>
      </c>
      <c r="G26" s="241">
        <v>984</v>
      </c>
      <c r="H26" s="253">
        <f t="shared" si="0"/>
        <v>300</v>
      </c>
      <c r="I26" s="383">
        <f t="shared" si="3"/>
        <v>295200</v>
      </c>
      <c r="J26" s="242">
        <v>5000</v>
      </c>
      <c r="K26" s="381">
        <f t="shared" si="4"/>
        <v>200</v>
      </c>
      <c r="L26" s="383">
        <f t="shared" si="5"/>
        <v>1000000</v>
      </c>
      <c r="M26" s="242">
        <v>573</v>
      </c>
      <c r="N26" s="381">
        <f t="shared" si="6"/>
        <v>400</v>
      </c>
      <c r="O26" s="383">
        <f t="shared" si="7"/>
        <v>229200</v>
      </c>
      <c r="P26" s="375">
        <f t="shared" si="1"/>
        <v>4024858.6115384623</v>
      </c>
      <c r="AD26" s="383"/>
      <c r="AE26" s="383"/>
      <c r="AF26" s="383"/>
    </row>
    <row r="27" spans="2:32" s="253" customFormat="1" x14ac:dyDescent="0.25">
      <c r="D27" s="264"/>
      <c r="E27" s="264"/>
      <c r="F27" s="385">
        <f>SUM(F16:F26)</f>
        <v>14150802.691754963</v>
      </c>
      <c r="G27" s="264"/>
      <c r="H27" s="264"/>
      <c r="I27" s="385">
        <f>SUM(I16:I26)</f>
        <v>2952000</v>
      </c>
      <c r="J27" s="264"/>
      <c r="K27" s="264"/>
      <c r="L27" s="385">
        <f>SUM(L16:L26)</f>
        <v>7390000</v>
      </c>
      <c r="M27" s="264"/>
      <c r="N27" s="264"/>
      <c r="O27" s="385">
        <f>SUM(O16:O26)</f>
        <v>2292000</v>
      </c>
      <c r="P27" s="386">
        <f>SUM(P16:P26)</f>
        <v>26784802.691754967</v>
      </c>
      <c r="Q27" s="265" t="s">
        <v>7</v>
      </c>
      <c r="AD27" s="385"/>
      <c r="AE27" s="385"/>
      <c r="AF27" s="385"/>
    </row>
    <row r="28" spans="2:32" s="253" customFormat="1" x14ac:dyDescent="0.25"/>
    <row r="29" spans="2:32" s="253" customFormat="1" x14ac:dyDescent="0.25">
      <c r="B29" s="265" t="s">
        <v>24</v>
      </c>
      <c r="C29" s="265" t="s">
        <v>25</v>
      </c>
      <c r="D29" s="265" t="s">
        <v>52</v>
      </c>
      <c r="E29" s="265" t="s">
        <v>30</v>
      </c>
      <c r="F29" s="265" t="s">
        <v>36</v>
      </c>
      <c r="G29" s="265" t="s">
        <v>53</v>
      </c>
      <c r="H29" s="265" t="s">
        <v>31</v>
      </c>
      <c r="I29" s="265" t="s">
        <v>37</v>
      </c>
      <c r="J29" s="265" t="s">
        <v>54</v>
      </c>
      <c r="K29" s="265" t="s">
        <v>32</v>
      </c>
      <c r="L29" s="265" t="s">
        <v>38</v>
      </c>
      <c r="M29" s="265" t="s">
        <v>55</v>
      </c>
      <c r="N29" s="265" t="s">
        <v>33</v>
      </c>
      <c r="O29" s="265" t="s">
        <v>39</v>
      </c>
      <c r="P29" s="265" t="s">
        <v>411</v>
      </c>
      <c r="Q29" s="270"/>
    </row>
    <row r="30" spans="2:32" s="253" customFormat="1" x14ac:dyDescent="0.25">
      <c r="B30" s="265"/>
      <c r="C30" s="265"/>
      <c r="D30" s="265" t="s">
        <v>56</v>
      </c>
      <c r="E30" s="265" t="s">
        <v>21</v>
      </c>
      <c r="F30" s="265" t="s">
        <v>6</v>
      </c>
      <c r="G30" s="265" t="s">
        <v>56</v>
      </c>
      <c r="H30" s="265" t="s">
        <v>21</v>
      </c>
      <c r="I30" s="265" t="s">
        <v>6</v>
      </c>
      <c r="J30" s="265" t="s">
        <v>56</v>
      </c>
      <c r="K30" s="265" t="s">
        <v>21</v>
      </c>
      <c r="L30" s="265" t="s">
        <v>6</v>
      </c>
      <c r="M30" s="265" t="s">
        <v>56</v>
      </c>
      <c r="N30" s="265" t="s">
        <v>21</v>
      </c>
      <c r="O30" s="265" t="s">
        <v>6</v>
      </c>
      <c r="P30" s="265" t="s">
        <v>6</v>
      </c>
      <c r="Q30" s="270"/>
    </row>
    <row r="31" spans="2:32" s="253" customFormat="1" x14ac:dyDescent="0.25">
      <c r="B31" s="253">
        <f>General!$D$3+C31</f>
        <v>2024</v>
      </c>
      <c r="C31" s="253">
        <v>0</v>
      </c>
      <c r="D31" s="242">
        <v>0</v>
      </c>
      <c r="E31" s="387">
        <f>$D$8</f>
        <v>2.5</v>
      </c>
      <c r="F31" s="383">
        <f>D31*E31</f>
        <v>0</v>
      </c>
      <c r="G31" s="242">
        <v>0</v>
      </c>
      <c r="H31" s="253">
        <f>$D$9</f>
        <v>1600</v>
      </c>
      <c r="I31" s="383">
        <f>G31*H31</f>
        <v>0</v>
      </c>
      <c r="J31" s="242">
        <v>0</v>
      </c>
      <c r="K31" s="388">
        <f>$D$10</f>
        <v>2</v>
      </c>
      <c r="L31" s="383">
        <f>J31*K31</f>
        <v>0</v>
      </c>
      <c r="M31" s="242">
        <v>0</v>
      </c>
      <c r="N31" s="381">
        <f>$D$11</f>
        <v>5</v>
      </c>
      <c r="O31" s="383">
        <f>M31*N31</f>
        <v>0</v>
      </c>
      <c r="P31" s="375">
        <f>F31+I31+L31+O31</f>
        <v>0</v>
      </c>
    </row>
    <row r="32" spans="2:32" s="253" customFormat="1" x14ac:dyDescent="0.25">
      <c r="B32" s="253">
        <f>General!$D$3+C32</f>
        <v>2025</v>
      </c>
      <c r="C32" s="253">
        <v>1</v>
      </c>
      <c r="D32" s="384">
        <v>26355</v>
      </c>
      <c r="E32" s="387">
        <f t="shared" ref="E32:E41" si="9">$D$8</f>
        <v>2.5</v>
      </c>
      <c r="F32" s="383">
        <f>D32*E32</f>
        <v>65887.5</v>
      </c>
      <c r="G32" s="382">
        <v>29</v>
      </c>
      <c r="H32" s="253">
        <f t="shared" ref="H32:H41" si="10">$D$9</f>
        <v>1600</v>
      </c>
      <c r="I32" s="383">
        <f t="shared" ref="I32:I41" si="11">G32*H32</f>
        <v>46400</v>
      </c>
      <c r="J32" s="242">
        <v>1248</v>
      </c>
      <c r="K32" s="388">
        <f t="shared" ref="K32:K41" si="12">$D$10</f>
        <v>2</v>
      </c>
      <c r="L32" s="383">
        <f t="shared" ref="L32:L41" si="13">J32*K32</f>
        <v>2496</v>
      </c>
      <c r="M32" s="242">
        <v>8000</v>
      </c>
      <c r="N32" s="381">
        <f t="shared" ref="N32:N41" si="14">$D$11</f>
        <v>5</v>
      </c>
      <c r="O32" s="383">
        <f t="shared" ref="O32:O41" si="15">M32*N32</f>
        <v>40000</v>
      </c>
      <c r="P32" s="375">
        <f>F32+I32+L32+O32</f>
        <v>154783.5</v>
      </c>
    </row>
    <row r="33" spans="1:18" s="253" customFormat="1" x14ac:dyDescent="0.25">
      <c r="B33" s="253">
        <f>General!$D$3+C33</f>
        <v>2026</v>
      </c>
      <c r="C33" s="253">
        <v>2</v>
      </c>
      <c r="D33" s="384">
        <v>26355</v>
      </c>
      <c r="E33" s="387">
        <f t="shared" si="9"/>
        <v>2.5</v>
      </c>
      <c r="F33" s="383">
        <f t="shared" ref="F33:F41" si="16">D33*E33</f>
        <v>65887.5</v>
      </c>
      <c r="G33" s="382">
        <v>59</v>
      </c>
      <c r="H33" s="253">
        <f t="shared" si="10"/>
        <v>1600</v>
      </c>
      <c r="I33" s="383">
        <f t="shared" si="11"/>
        <v>94400</v>
      </c>
      <c r="J33" s="242">
        <v>2496</v>
      </c>
      <c r="K33" s="388">
        <f t="shared" si="12"/>
        <v>2</v>
      </c>
      <c r="L33" s="383">
        <f t="shared" si="13"/>
        <v>4992</v>
      </c>
      <c r="M33" s="242">
        <v>9000</v>
      </c>
      <c r="N33" s="381">
        <f t="shared" si="14"/>
        <v>5</v>
      </c>
      <c r="O33" s="383">
        <f t="shared" si="15"/>
        <v>45000</v>
      </c>
      <c r="P33" s="375">
        <f t="shared" ref="P33:P41" si="17">F33+I33+L33+O33</f>
        <v>210279.5</v>
      </c>
    </row>
    <row r="34" spans="1:18" s="253" customFormat="1" x14ac:dyDescent="0.25">
      <c r="B34" s="253">
        <f>General!$D$3+C34</f>
        <v>2027</v>
      </c>
      <c r="C34" s="253">
        <v>3</v>
      </c>
      <c r="D34" s="384">
        <v>26355</v>
      </c>
      <c r="E34" s="387">
        <f t="shared" si="9"/>
        <v>2.5</v>
      </c>
      <c r="F34" s="383">
        <f t="shared" si="16"/>
        <v>65887.5</v>
      </c>
      <c r="G34" s="382">
        <v>59</v>
      </c>
      <c r="H34" s="253">
        <f t="shared" si="10"/>
        <v>1600</v>
      </c>
      <c r="I34" s="383">
        <f t="shared" si="11"/>
        <v>94400</v>
      </c>
      <c r="J34" s="242">
        <v>2496</v>
      </c>
      <c r="K34" s="388">
        <f t="shared" si="12"/>
        <v>2</v>
      </c>
      <c r="L34" s="383">
        <f t="shared" si="13"/>
        <v>4992</v>
      </c>
      <c r="M34" s="242">
        <v>10000</v>
      </c>
      <c r="N34" s="381">
        <f t="shared" si="14"/>
        <v>5</v>
      </c>
      <c r="O34" s="383">
        <f t="shared" si="15"/>
        <v>50000</v>
      </c>
      <c r="P34" s="375">
        <f t="shared" si="17"/>
        <v>215279.5</v>
      </c>
    </row>
    <row r="35" spans="1:18" s="253" customFormat="1" x14ac:dyDescent="0.25">
      <c r="B35" s="253">
        <f>General!$D$3+C35</f>
        <v>2028</v>
      </c>
      <c r="C35" s="253">
        <v>4</v>
      </c>
      <c r="D35" s="384">
        <v>38289</v>
      </c>
      <c r="E35" s="387">
        <f t="shared" si="9"/>
        <v>2.5</v>
      </c>
      <c r="F35" s="383">
        <f t="shared" si="16"/>
        <v>95722.5</v>
      </c>
      <c r="G35" s="382">
        <v>59</v>
      </c>
      <c r="H35" s="253">
        <f t="shared" si="10"/>
        <v>1600</v>
      </c>
      <c r="I35" s="383">
        <f t="shared" si="11"/>
        <v>94400</v>
      </c>
      <c r="J35" s="242">
        <v>2496</v>
      </c>
      <c r="K35" s="388">
        <f t="shared" si="12"/>
        <v>2</v>
      </c>
      <c r="L35" s="383">
        <f t="shared" si="13"/>
        <v>4992</v>
      </c>
      <c r="M35" s="242">
        <v>11000</v>
      </c>
      <c r="N35" s="381">
        <f t="shared" si="14"/>
        <v>5</v>
      </c>
      <c r="O35" s="383">
        <f t="shared" si="15"/>
        <v>55000</v>
      </c>
      <c r="P35" s="375">
        <f t="shared" si="17"/>
        <v>250114.5</v>
      </c>
    </row>
    <row r="36" spans="1:18" s="253" customFormat="1" x14ac:dyDescent="0.25">
      <c r="B36" s="253">
        <f>General!$D$3+C36</f>
        <v>2029</v>
      </c>
      <c r="C36" s="253">
        <v>5</v>
      </c>
      <c r="D36" s="384">
        <v>38289</v>
      </c>
      <c r="E36" s="387">
        <f t="shared" si="9"/>
        <v>2.5</v>
      </c>
      <c r="F36" s="383">
        <f t="shared" si="16"/>
        <v>95722.5</v>
      </c>
      <c r="G36" s="382">
        <v>59</v>
      </c>
      <c r="H36" s="253">
        <f t="shared" si="10"/>
        <v>1600</v>
      </c>
      <c r="I36" s="383">
        <f t="shared" si="11"/>
        <v>94400</v>
      </c>
      <c r="J36" s="242">
        <v>2496</v>
      </c>
      <c r="K36" s="388">
        <f t="shared" si="12"/>
        <v>2</v>
      </c>
      <c r="L36" s="383">
        <f t="shared" si="13"/>
        <v>4992</v>
      </c>
      <c r="M36" s="242">
        <v>11000</v>
      </c>
      <c r="N36" s="381">
        <f t="shared" si="14"/>
        <v>5</v>
      </c>
      <c r="O36" s="383">
        <f t="shared" si="15"/>
        <v>55000</v>
      </c>
      <c r="P36" s="375">
        <f t="shared" si="17"/>
        <v>250114.5</v>
      </c>
    </row>
    <row r="37" spans="1:18" s="253" customFormat="1" x14ac:dyDescent="0.25">
      <c r="B37" s="253">
        <f>General!$D$3+C37</f>
        <v>2030</v>
      </c>
      <c r="C37" s="253">
        <v>6</v>
      </c>
      <c r="D37" s="384">
        <v>38289</v>
      </c>
      <c r="E37" s="387">
        <f t="shared" si="9"/>
        <v>2.5</v>
      </c>
      <c r="F37" s="383">
        <f t="shared" si="16"/>
        <v>95722.5</v>
      </c>
      <c r="G37" s="382">
        <v>59</v>
      </c>
      <c r="H37" s="253">
        <f t="shared" si="10"/>
        <v>1600</v>
      </c>
      <c r="I37" s="383">
        <f t="shared" si="11"/>
        <v>94400</v>
      </c>
      <c r="J37" s="242">
        <v>2496</v>
      </c>
      <c r="K37" s="388">
        <f t="shared" si="12"/>
        <v>2</v>
      </c>
      <c r="L37" s="383">
        <f t="shared" si="13"/>
        <v>4992</v>
      </c>
      <c r="M37" s="242">
        <v>11000</v>
      </c>
      <c r="N37" s="381">
        <f t="shared" si="14"/>
        <v>5</v>
      </c>
      <c r="O37" s="383">
        <f t="shared" si="15"/>
        <v>55000</v>
      </c>
      <c r="P37" s="375">
        <f t="shared" si="17"/>
        <v>250114.5</v>
      </c>
    </row>
    <row r="38" spans="1:18" s="253" customFormat="1" x14ac:dyDescent="0.25">
      <c r="B38" s="253">
        <f>General!$D$3+C38</f>
        <v>2031</v>
      </c>
      <c r="C38" s="253">
        <v>7</v>
      </c>
      <c r="D38" s="384">
        <v>43203</v>
      </c>
      <c r="E38" s="387">
        <f t="shared" si="9"/>
        <v>2.5</v>
      </c>
      <c r="F38" s="383">
        <f t="shared" si="16"/>
        <v>108007.5</v>
      </c>
      <c r="G38" s="382">
        <v>88</v>
      </c>
      <c r="H38" s="253">
        <f t="shared" si="10"/>
        <v>1600</v>
      </c>
      <c r="I38" s="383">
        <f t="shared" si="11"/>
        <v>140800</v>
      </c>
      <c r="J38" s="242">
        <v>3756</v>
      </c>
      <c r="K38" s="388">
        <f t="shared" si="12"/>
        <v>2</v>
      </c>
      <c r="L38" s="383">
        <f t="shared" si="13"/>
        <v>7512</v>
      </c>
      <c r="M38" s="242">
        <v>11000</v>
      </c>
      <c r="N38" s="381">
        <f t="shared" si="14"/>
        <v>5</v>
      </c>
      <c r="O38" s="383">
        <f t="shared" si="15"/>
        <v>55000</v>
      </c>
      <c r="P38" s="375">
        <f t="shared" si="17"/>
        <v>311319.5</v>
      </c>
    </row>
    <row r="39" spans="1:18" s="253" customFormat="1" x14ac:dyDescent="0.25">
      <c r="B39" s="253">
        <f>General!$D$3+C39</f>
        <v>2032</v>
      </c>
      <c r="C39" s="253">
        <v>8</v>
      </c>
      <c r="D39" s="384">
        <v>43203</v>
      </c>
      <c r="E39" s="387">
        <f t="shared" si="9"/>
        <v>2.5</v>
      </c>
      <c r="F39" s="383">
        <f t="shared" si="16"/>
        <v>108007.5</v>
      </c>
      <c r="G39" s="382">
        <v>88</v>
      </c>
      <c r="H39" s="253">
        <f t="shared" si="10"/>
        <v>1600</v>
      </c>
      <c r="I39" s="383">
        <f t="shared" si="11"/>
        <v>140800</v>
      </c>
      <c r="J39" s="242">
        <v>3756</v>
      </c>
      <c r="K39" s="388">
        <f t="shared" si="12"/>
        <v>2</v>
      </c>
      <c r="L39" s="383">
        <f t="shared" si="13"/>
        <v>7512</v>
      </c>
      <c r="M39" s="242">
        <v>11000</v>
      </c>
      <c r="N39" s="381">
        <f t="shared" si="14"/>
        <v>5</v>
      </c>
      <c r="O39" s="383">
        <f t="shared" si="15"/>
        <v>55000</v>
      </c>
      <c r="P39" s="375">
        <f t="shared" si="17"/>
        <v>311319.5</v>
      </c>
    </row>
    <row r="40" spans="1:18" s="253" customFormat="1" x14ac:dyDescent="0.25">
      <c r="B40" s="253">
        <f>General!$D$3+C40</f>
        <v>2033</v>
      </c>
      <c r="C40" s="253">
        <v>9</v>
      </c>
      <c r="D40" s="384">
        <v>43203</v>
      </c>
      <c r="E40" s="387">
        <f t="shared" si="9"/>
        <v>2.5</v>
      </c>
      <c r="F40" s="383">
        <f t="shared" si="16"/>
        <v>108007.5</v>
      </c>
      <c r="G40" s="382">
        <v>88</v>
      </c>
      <c r="H40" s="253">
        <f t="shared" si="10"/>
        <v>1600</v>
      </c>
      <c r="I40" s="383">
        <f t="shared" si="11"/>
        <v>140800</v>
      </c>
      <c r="J40" s="242">
        <v>3756</v>
      </c>
      <c r="K40" s="388">
        <f t="shared" si="12"/>
        <v>2</v>
      </c>
      <c r="L40" s="383">
        <f t="shared" si="13"/>
        <v>7512</v>
      </c>
      <c r="M40" s="242">
        <v>11000</v>
      </c>
      <c r="N40" s="381">
        <f t="shared" si="14"/>
        <v>5</v>
      </c>
      <c r="O40" s="383">
        <f t="shared" si="15"/>
        <v>55000</v>
      </c>
      <c r="P40" s="375">
        <f t="shared" si="17"/>
        <v>311319.5</v>
      </c>
    </row>
    <row r="41" spans="1:18" s="253" customFormat="1" x14ac:dyDescent="0.25">
      <c r="B41" s="253">
        <f>General!$D$3+C41</f>
        <v>2034</v>
      </c>
      <c r="C41" s="253">
        <v>10</v>
      </c>
      <c r="D41" s="384">
        <v>43203</v>
      </c>
      <c r="E41" s="387">
        <f t="shared" si="9"/>
        <v>2.5</v>
      </c>
      <c r="F41" s="383">
        <f t="shared" si="16"/>
        <v>108007.5</v>
      </c>
      <c r="G41" s="382">
        <v>88</v>
      </c>
      <c r="H41" s="253">
        <f t="shared" si="10"/>
        <v>1600</v>
      </c>
      <c r="I41" s="383">
        <f t="shared" si="11"/>
        <v>140800</v>
      </c>
      <c r="J41" s="242">
        <v>3756</v>
      </c>
      <c r="K41" s="388">
        <f t="shared" si="12"/>
        <v>2</v>
      </c>
      <c r="L41" s="383">
        <f t="shared" si="13"/>
        <v>7512</v>
      </c>
      <c r="M41" s="242">
        <v>11000</v>
      </c>
      <c r="N41" s="381">
        <f t="shared" si="14"/>
        <v>5</v>
      </c>
      <c r="O41" s="383">
        <f t="shared" si="15"/>
        <v>55000</v>
      </c>
      <c r="P41" s="375">
        <f t="shared" si="17"/>
        <v>311319.5</v>
      </c>
    </row>
    <row r="42" spans="1:18" s="253" customFormat="1" x14ac:dyDescent="0.25">
      <c r="D42" s="264"/>
      <c r="E42" s="264"/>
      <c r="F42" s="385">
        <f>SUM(F31:F41)</f>
        <v>916860</v>
      </c>
      <c r="G42" s="264"/>
      <c r="H42" s="264"/>
      <c r="I42" s="385">
        <f>SUM(I31:I41)</f>
        <v>1081600</v>
      </c>
      <c r="J42" s="264"/>
      <c r="K42" s="264"/>
      <c r="L42" s="385">
        <f>SUM(L31:L41)</f>
        <v>57504</v>
      </c>
      <c r="M42" s="264"/>
      <c r="N42" s="264"/>
      <c r="O42" s="385">
        <f>SUM(O31:O41)</f>
        <v>520000</v>
      </c>
      <c r="P42" s="386">
        <f>SUM(P31:P41)</f>
        <v>2575964</v>
      </c>
      <c r="Q42" s="265" t="s">
        <v>7</v>
      </c>
      <c r="R42" s="375">
        <f>P27+P42</f>
        <v>29360766.691754967</v>
      </c>
    </row>
    <row r="43" spans="1:18" s="278" customFormat="1" ht="15.75" thickBot="1" x14ac:dyDescent="0.3">
      <c r="D43" s="389"/>
    </row>
    <row r="44" spans="1:18" x14ac:dyDescent="0.25">
      <c r="D44" s="2"/>
    </row>
    <row r="45" spans="1:18" x14ac:dyDescent="0.25">
      <c r="A45" s="56" t="s">
        <v>35</v>
      </c>
      <c r="B45" s="56"/>
    </row>
    <row r="46" spans="1:18" s="253" customFormat="1" x14ac:dyDescent="0.25">
      <c r="B46" s="270"/>
      <c r="D46" s="270"/>
      <c r="E46" s="500" t="s">
        <v>61</v>
      </c>
      <c r="F46" s="500"/>
      <c r="G46" s="500"/>
      <c r="H46" s="500" t="s">
        <v>62</v>
      </c>
      <c r="I46" s="500"/>
      <c r="J46" s="500"/>
      <c r="K46" s="270" t="s">
        <v>68</v>
      </c>
    </row>
    <row r="47" spans="1:18" s="253" customFormat="1" x14ac:dyDescent="0.25">
      <c r="B47" s="270"/>
      <c r="C47" s="270" t="s">
        <v>59</v>
      </c>
      <c r="D47" s="270" t="s">
        <v>60</v>
      </c>
      <c r="E47" s="270" t="s">
        <v>65</v>
      </c>
      <c r="F47" s="270" t="s">
        <v>66</v>
      </c>
      <c r="G47" s="270" t="s">
        <v>67</v>
      </c>
      <c r="H47" s="270" t="s">
        <v>65</v>
      </c>
      <c r="I47" s="270" t="s">
        <v>66</v>
      </c>
      <c r="J47" s="270" t="s">
        <v>67</v>
      </c>
      <c r="K47" s="270"/>
    </row>
    <row r="48" spans="1:18" s="253" customFormat="1" x14ac:dyDescent="0.25">
      <c r="B48" s="270" t="s">
        <v>64</v>
      </c>
      <c r="C48" s="254" t="s">
        <v>63</v>
      </c>
      <c r="D48" s="254">
        <v>31.5</v>
      </c>
      <c r="E48" s="254">
        <v>2.0230000000000001</v>
      </c>
      <c r="F48" s="254">
        <v>3.4870000000000001</v>
      </c>
      <c r="G48" s="254">
        <v>6.2389999999999999</v>
      </c>
      <c r="H48" s="254">
        <v>39.700000000000003</v>
      </c>
      <c r="I48" s="254">
        <v>114.6</v>
      </c>
      <c r="J48" s="254">
        <v>189.1</v>
      </c>
      <c r="K48" s="254">
        <v>14363</v>
      </c>
    </row>
    <row r="49" spans="2:18" s="253" customFormat="1" x14ac:dyDescent="0.25">
      <c r="B49" s="270" t="s">
        <v>6</v>
      </c>
      <c r="C49" s="270" t="str">
        <f>C48</f>
        <v>GC3</v>
      </c>
      <c r="D49" s="270">
        <f>D48</f>
        <v>31.5</v>
      </c>
      <c r="E49" s="390">
        <f>E48/General!$D$2</f>
        <v>5.0575000000000002E-2</v>
      </c>
      <c r="F49" s="390">
        <f>F48/General!$D$2</f>
        <v>8.7175000000000002E-2</v>
      </c>
      <c r="G49" s="390">
        <f>G48/General!$D$2</f>
        <v>0.155975</v>
      </c>
      <c r="H49" s="390">
        <f>H48/General!$D$2</f>
        <v>0.99250000000000005</v>
      </c>
      <c r="I49" s="390">
        <f>I48/General!$D$2</f>
        <v>2.8649999999999998</v>
      </c>
      <c r="J49" s="390">
        <f>J48/General!$D$2</f>
        <v>4.7275</v>
      </c>
      <c r="K49" s="390">
        <f>K48/General!$D$2</f>
        <v>359.07499999999999</v>
      </c>
    </row>
    <row r="50" spans="2:18" s="253" customFormat="1" x14ac:dyDescent="0.25"/>
    <row r="51" spans="2:18" s="253" customFormat="1" x14ac:dyDescent="0.25">
      <c r="C51" s="253" t="s">
        <v>80</v>
      </c>
      <c r="E51" s="242">
        <v>792</v>
      </c>
      <c r="F51" s="253" t="s">
        <v>81</v>
      </c>
    </row>
    <row r="52" spans="2:18" s="253" customFormat="1" x14ac:dyDescent="0.25">
      <c r="D52" s="381"/>
    </row>
    <row r="53" spans="2:18" s="253" customFormat="1" x14ac:dyDescent="0.25">
      <c r="D53" s="381"/>
    </row>
    <row r="54" spans="2:18" s="253" customFormat="1" x14ac:dyDescent="0.25">
      <c r="B54" s="265" t="s">
        <v>24</v>
      </c>
      <c r="C54" s="265" t="s">
        <v>25</v>
      </c>
      <c r="D54" s="265" t="s">
        <v>69</v>
      </c>
      <c r="E54" s="265" t="s">
        <v>71</v>
      </c>
      <c r="F54" s="265" t="s">
        <v>72</v>
      </c>
      <c r="G54" s="265" t="s">
        <v>74</v>
      </c>
      <c r="H54" s="265" t="s">
        <v>75</v>
      </c>
      <c r="I54" s="265" t="s">
        <v>76</v>
      </c>
      <c r="J54" s="265" t="s">
        <v>77</v>
      </c>
      <c r="K54" s="265" t="s">
        <v>78</v>
      </c>
      <c r="L54" s="265" t="s">
        <v>79</v>
      </c>
      <c r="M54" s="265" t="s">
        <v>84</v>
      </c>
      <c r="N54" s="265" t="s">
        <v>85</v>
      </c>
      <c r="O54" s="265" t="s">
        <v>86</v>
      </c>
      <c r="P54" s="265" t="s">
        <v>82</v>
      </c>
      <c r="Q54" s="265" t="s">
        <v>83</v>
      </c>
      <c r="R54" s="270"/>
    </row>
    <row r="55" spans="2:18" s="253" customFormat="1" x14ac:dyDescent="0.25">
      <c r="B55" s="265"/>
      <c r="C55" s="265"/>
      <c r="D55" s="265" t="s">
        <v>70</v>
      </c>
      <c r="E55" s="265" t="s">
        <v>73</v>
      </c>
      <c r="F55" s="265" t="s">
        <v>6</v>
      </c>
      <c r="G55" s="265" t="s">
        <v>70</v>
      </c>
      <c r="H55" s="265" t="s">
        <v>73</v>
      </c>
      <c r="I55" s="265" t="s">
        <v>6</v>
      </c>
      <c r="J55" s="265" t="s">
        <v>70</v>
      </c>
      <c r="K55" s="265" t="s">
        <v>73</v>
      </c>
      <c r="L55" s="265" t="s">
        <v>6</v>
      </c>
      <c r="M55" s="265" t="s">
        <v>6</v>
      </c>
      <c r="N55" s="265" t="s">
        <v>6</v>
      </c>
      <c r="O55" s="265" t="s">
        <v>6</v>
      </c>
      <c r="P55" s="265" t="s">
        <v>6</v>
      </c>
      <c r="Q55" s="265" t="s">
        <v>6</v>
      </c>
      <c r="R55" s="270"/>
    </row>
    <row r="56" spans="2:18" s="253" customFormat="1" x14ac:dyDescent="0.25">
      <c r="B56" s="253">
        <f>General!$D$3+C56</f>
        <v>2024</v>
      </c>
      <c r="C56" s="253">
        <v>0</v>
      </c>
      <c r="D56" s="242">
        <v>0</v>
      </c>
      <c r="E56" s="388">
        <f t="shared" ref="E56:E66" si="18">$E$49</f>
        <v>5.0575000000000002E-2</v>
      </c>
      <c r="F56" s="383">
        <f>D56*E56*12</f>
        <v>0</v>
      </c>
      <c r="G56" s="242">
        <v>0</v>
      </c>
      <c r="H56" s="388">
        <f t="shared" ref="H56:H66" si="19">$F$49</f>
        <v>8.7175000000000002E-2</v>
      </c>
      <c r="I56" s="383">
        <f>G56*H56*12</f>
        <v>0</v>
      </c>
      <c r="J56" s="242">
        <v>0</v>
      </c>
      <c r="K56" s="388">
        <f t="shared" ref="K56:K66" si="20">$G$49</f>
        <v>0.155975</v>
      </c>
      <c r="L56" s="383">
        <f>J56*K56*12</f>
        <v>0</v>
      </c>
      <c r="M56" s="383">
        <v>0</v>
      </c>
      <c r="N56" s="383">
        <v>0</v>
      </c>
      <c r="O56" s="383">
        <v>0</v>
      </c>
      <c r="P56" s="383">
        <v>0</v>
      </c>
      <c r="Q56" s="375">
        <f>F56+I56+L56+M56+N56+O56+P56</f>
        <v>0</v>
      </c>
    </row>
    <row r="57" spans="2:18" s="253" customFormat="1" x14ac:dyDescent="0.25">
      <c r="B57" s="253">
        <f>General!$D$3+C57</f>
        <v>2025</v>
      </c>
      <c r="C57" s="253">
        <v>1</v>
      </c>
      <c r="D57" s="384">
        <v>82586</v>
      </c>
      <c r="E57" s="388">
        <f t="shared" si="18"/>
        <v>5.0575000000000002E-2</v>
      </c>
      <c r="F57" s="383">
        <f t="shared" ref="F57:F66" si="21">D57*E57*12</f>
        <v>50121.443399999996</v>
      </c>
      <c r="G57" s="384">
        <v>94325.916666666672</v>
      </c>
      <c r="H57" s="388">
        <f t="shared" si="19"/>
        <v>8.7175000000000002E-2</v>
      </c>
      <c r="I57" s="383">
        <f t="shared" ref="I57:I66" si="22">G57*H57*12</f>
        <v>98674.341425000021</v>
      </c>
      <c r="J57" s="384">
        <v>14222.833333333334</v>
      </c>
      <c r="K57" s="388">
        <f t="shared" si="20"/>
        <v>0.155975</v>
      </c>
      <c r="L57" s="383">
        <f t="shared" ref="L57:L66" si="23">J57*K57*12</f>
        <v>26620.87715</v>
      </c>
      <c r="M57" s="383">
        <f t="shared" ref="M57:M66" si="24">$H$49*$E$51*12</f>
        <v>9432.7200000000012</v>
      </c>
      <c r="N57" s="383">
        <f t="shared" ref="N57:N66" si="25">$I$49*$E$51*12</f>
        <v>27228.959999999999</v>
      </c>
      <c r="O57" s="383">
        <f t="shared" ref="O57:O66" si="26">$J$49*$E$51*12</f>
        <v>44930.159999999996</v>
      </c>
      <c r="P57" s="383">
        <f t="shared" ref="P57:P66" si="27">$K$49*12</f>
        <v>4308.8999999999996</v>
      </c>
      <c r="Q57" s="375">
        <f t="shared" ref="Q57:Q66" si="28">F57+I57+L57+M57+N57+O57+P57</f>
        <v>261317.40197499999</v>
      </c>
    </row>
    <row r="58" spans="2:18" s="253" customFormat="1" x14ac:dyDescent="0.25">
      <c r="B58" s="253">
        <f>General!$D$3+C58</f>
        <v>2026</v>
      </c>
      <c r="C58" s="253">
        <v>2</v>
      </c>
      <c r="D58" s="384">
        <v>82586</v>
      </c>
      <c r="E58" s="388">
        <f t="shared" si="18"/>
        <v>5.0575000000000002E-2</v>
      </c>
      <c r="F58" s="383">
        <f t="shared" si="21"/>
        <v>50121.443399999996</v>
      </c>
      <c r="G58" s="384">
        <v>94325.916666666672</v>
      </c>
      <c r="H58" s="388">
        <f t="shared" si="19"/>
        <v>8.7175000000000002E-2</v>
      </c>
      <c r="I58" s="383">
        <f t="shared" si="22"/>
        <v>98674.341425000021</v>
      </c>
      <c r="J58" s="384">
        <v>14222.833333333334</v>
      </c>
      <c r="K58" s="388">
        <f t="shared" si="20"/>
        <v>0.155975</v>
      </c>
      <c r="L58" s="383">
        <f t="shared" si="23"/>
        <v>26620.87715</v>
      </c>
      <c r="M58" s="383">
        <f t="shared" si="24"/>
        <v>9432.7200000000012</v>
      </c>
      <c r="N58" s="383">
        <f t="shared" si="25"/>
        <v>27228.959999999999</v>
      </c>
      <c r="O58" s="383">
        <f t="shared" si="26"/>
        <v>44930.159999999996</v>
      </c>
      <c r="P58" s="383">
        <f t="shared" si="27"/>
        <v>4308.8999999999996</v>
      </c>
      <c r="Q58" s="375">
        <f t="shared" si="28"/>
        <v>261317.40197499999</v>
      </c>
    </row>
    <row r="59" spans="2:18" s="253" customFormat="1" x14ac:dyDescent="0.25">
      <c r="B59" s="253">
        <f>General!$D$3+C59</f>
        <v>2027</v>
      </c>
      <c r="C59" s="253">
        <v>3</v>
      </c>
      <c r="D59" s="384">
        <v>82586</v>
      </c>
      <c r="E59" s="388">
        <f t="shared" si="18"/>
        <v>5.0575000000000002E-2</v>
      </c>
      <c r="F59" s="383">
        <f t="shared" si="21"/>
        <v>50121.443399999996</v>
      </c>
      <c r="G59" s="384">
        <v>94325.916666666672</v>
      </c>
      <c r="H59" s="388">
        <f t="shared" si="19"/>
        <v>8.7175000000000002E-2</v>
      </c>
      <c r="I59" s="383">
        <f t="shared" si="22"/>
        <v>98674.341425000021</v>
      </c>
      <c r="J59" s="384">
        <v>14222.833333333334</v>
      </c>
      <c r="K59" s="388">
        <f t="shared" si="20"/>
        <v>0.155975</v>
      </c>
      <c r="L59" s="383">
        <f t="shared" si="23"/>
        <v>26620.87715</v>
      </c>
      <c r="M59" s="383">
        <f t="shared" si="24"/>
        <v>9432.7200000000012</v>
      </c>
      <c r="N59" s="383">
        <f t="shared" si="25"/>
        <v>27228.959999999999</v>
      </c>
      <c r="O59" s="383">
        <f t="shared" si="26"/>
        <v>44930.159999999996</v>
      </c>
      <c r="P59" s="383">
        <f t="shared" si="27"/>
        <v>4308.8999999999996</v>
      </c>
      <c r="Q59" s="375">
        <f t="shared" si="28"/>
        <v>261317.40197499999</v>
      </c>
    </row>
    <row r="60" spans="2:18" s="253" customFormat="1" x14ac:dyDescent="0.25">
      <c r="B60" s="253">
        <f>General!$D$3+C60</f>
        <v>2028</v>
      </c>
      <c r="C60" s="253">
        <v>4</v>
      </c>
      <c r="D60" s="384">
        <v>112492</v>
      </c>
      <c r="E60" s="388">
        <f t="shared" si="18"/>
        <v>5.0575000000000002E-2</v>
      </c>
      <c r="F60" s="383">
        <f t="shared" si="21"/>
        <v>68271.394800000009</v>
      </c>
      <c r="G60" s="384">
        <v>134791.91666666666</v>
      </c>
      <c r="H60" s="388">
        <f t="shared" si="19"/>
        <v>8.7175000000000002E-2</v>
      </c>
      <c r="I60" s="383">
        <f t="shared" si="22"/>
        <v>141005.82402499998</v>
      </c>
      <c r="J60" s="384">
        <v>14222.833333333334</v>
      </c>
      <c r="K60" s="388">
        <f t="shared" si="20"/>
        <v>0.155975</v>
      </c>
      <c r="L60" s="383">
        <f t="shared" si="23"/>
        <v>26620.87715</v>
      </c>
      <c r="M60" s="383">
        <f t="shared" si="24"/>
        <v>9432.7200000000012</v>
      </c>
      <c r="N60" s="383">
        <f t="shared" si="25"/>
        <v>27228.959999999999</v>
      </c>
      <c r="O60" s="383">
        <f t="shared" si="26"/>
        <v>44930.159999999996</v>
      </c>
      <c r="P60" s="383">
        <f t="shared" si="27"/>
        <v>4308.8999999999996</v>
      </c>
      <c r="Q60" s="375">
        <f t="shared" si="28"/>
        <v>321798.83597499999</v>
      </c>
    </row>
    <row r="61" spans="2:18" s="253" customFormat="1" x14ac:dyDescent="0.25">
      <c r="B61" s="253">
        <f>General!$D$3+C61</f>
        <v>2029</v>
      </c>
      <c r="C61" s="253">
        <v>5</v>
      </c>
      <c r="D61" s="384">
        <v>112492</v>
      </c>
      <c r="E61" s="388">
        <f t="shared" si="18"/>
        <v>5.0575000000000002E-2</v>
      </c>
      <c r="F61" s="383">
        <f t="shared" si="21"/>
        <v>68271.394800000009</v>
      </c>
      <c r="G61" s="384">
        <v>134791.91666666666</v>
      </c>
      <c r="H61" s="388">
        <f t="shared" si="19"/>
        <v>8.7175000000000002E-2</v>
      </c>
      <c r="I61" s="383">
        <f t="shared" si="22"/>
        <v>141005.82402499998</v>
      </c>
      <c r="J61" s="384">
        <v>14222.833333333334</v>
      </c>
      <c r="K61" s="388">
        <f t="shared" si="20"/>
        <v>0.155975</v>
      </c>
      <c r="L61" s="383">
        <f t="shared" si="23"/>
        <v>26620.87715</v>
      </c>
      <c r="M61" s="383">
        <f t="shared" si="24"/>
        <v>9432.7200000000012</v>
      </c>
      <c r="N61" s="383">
        <f t="shared" si="25"/>
        <v>27228.959999999999</v>
      </c>
      <c r="O61" s="383">
        <f t="shared" si="26"/>
        <v>44930.159999999996</v>
      </c>
      <c r="P61" s="383">
        <f t="shared" si="27"/>
        <v>4308.8999999999996</v>
      </c>
      <c r="Q61" s="375">
        <f t="shared" si="28"/>
        <v>321798.83597499999</v>
      </c>
    </row>
    <row r="62" spans="2:18" s="253" customFormat="1" x14ac:dyDescent="0.25">
      <c r="B62" s="253">
        <f>General!$D$3+C62</f>
        <v>2030</v>
      </c>
      <c r="C62" s="253">
        <v>6</v>
      </c>
      <c r="D62" s="384">
        <v>112492</v>
      </c>
      <c r="E62" s="388">
        <f t="shared" si="18"/>
        <v>5.0575000000000002E-2</v>
      </c>
      <c r="F62" s="383">
        <f t="shared" si="21"/>
        <v>68271.394800000009</v>
      </c>
      <c r="G62" s="384">
        <v>134791.91666666666</v>
      </c>
      <c r="H62" s="388">
        <f t="shared" si="19"/>
        <v>8.7175000000000002E-2</v>
      </c>
      <c r="I62" s="383">
        <f t="shared" si="22"/>
        <v>141005.82402499998</v>
      </c>
      <c r="J62" s="384">
        <v>14222.833333333334</v>
      </c>
      <c r="K62" s="388">
        <f t="shared" si="20"/>
        <v>0.155975</v>
      </c>
      <c r="L62" s="383">
        <f t="shared" si="23"/>
        <v>26620.87715</v>
      </c>
      <c r="M62" s="383">
        <f t="shared" si="24"/>
        <v>9432.7200000000012</v>
      </c>
      <c r="N62" s="383">
        <f t="shared" si="25"/>
        <v>27228.959999999999</v>
      </c>
      <c r="O62" s="383">
        <f t="shared" si="26"/>
        <v>44930.159999999996</v>
      </c>
      <c r="P62" s="383">
        <f t="shared" si="27"/>
        <v>4308.8999999999996</v>
      </c>
      <c r="Q62" s="375">
        <f t="shared" si="28"/>
        <v>321798.83597499999</v>
      </c>
    </row>
    <row r="63" spans="2:18" s="253" customFormat="1" x14ac:dyDescent="0.25">
      <c r="B63" s="253">
        <f>General!$D$3+C63</f>
        <v>2031</v>
      </c>
      <c r="C63" s="253">
        <v>7</v>
      </c>
      <c r="D63" s="384">
        <v>116714</v>
      </c>
      <c r="E63" s="388">
        <f t="shared" si="18"/>
        <v>5.0575000000000002E-2</v>
      </c>
      <c r="F63" s="383">
        <f t="shared" si="21"/>
        <v>70833.726599999995</v>
      </c>
      <c r="G63" s="384">
        <v>164345.25</v>
      </c>
      <c r="H63" s="388">
        <f t="shared" si="19"/>
        <v>8.7175000000000002E-2</v>
      </c>
      <c r="I63" s="383">
        <f t="shared" si="22"/>
        <v>171921.56602500001</v>
      </c>
      <c r="J63" s="384">
        <v>14222.833333333334</v>
      </c>
      <c r="K63" s="388">
        <f t="shared" si="20"/>
        <v>0.155975</v>
      </c>
      <c r="L63" s="383">
        <f t="shared" si="23"/>
        <v>26620.87715</v>
      </c>
      <c r="M63" s="383">
        <f t="shared" si="24"/>
        <v>9432.7200000000012</v>
      </c>
      <c r="N63" s="383">
        <f t="shared" si="25"/>
        <v>27228.959999999999</v>
      </c>
      <c r="O63" s="383">
        <f t="shared" si="26"/>
        <v>44930.159999999996</v>
      </c>
      <c r="P63" s="383">
        <f t="shared" si="27"/>
        <v>4308.8999999999996</v>
      </c>
      <c r="Q63" s="375">
        <f t="shared" si="28"/>
        <v>355276.90977500007</v>
      </c>
    </row>
    <row r="64" spans="2:18" s="253" customFormat="1" x14ac:dyDescent="0.25">
      <c r="B64" s="253">
        <f>General!$D$3+C64</f>
        <v>2032</v>
      </c>
      <c r="C64" s="253">
        <v>8</v>
      </c>
      <c r="D64" s="384">
        <v>116714</v>
      </c>
      <c r="E64" s="388">
        <f t="shared" si="18"/>
        <v>5.0575000000000002E-2</v>
      </c>
      <c r="F64" s="383">
        <f t="shared" si="21"/>
        <v>70833.726599999995</v>
      </c>
      <c r="G64" s="384">
        <v>164345.25</v>
      </c>
      <c r="H64" s="388">
        <f t="shared" si="19"/>
        <v>8.7175000000000002E-2</v>
      </c>
      <c r="I64" s="383">
        <f t="shared" si="22"/>
        <v>171921.56602500001</v>
      </c>
      <c r="J64" s="384">
        <v>14222.833333333334</v>
      </c>
      <c r="K64" s="388">
        <f t="shared" si="20"/>
        <v>0.155975</v>
      </c>
      <c r="L64" s="383">
        <f t="shared" si="23"/>
        <v>26620.87715</v>
      </c>
      <c r="M64" s="383">
        <f t="shared" si="24"/>
        <v>9432.7200000000012</v>
      </c>
      <c r="N64" s="383">
        <f t="shared" si="25"/>
        <v>27228.959999999999</v>
      </c>
      <c r="O64" s="383">
        <f t="shared" si="26"/>
        <v>44930.159999999996</v>
      </c>
      <c r="P64" s="383">
        <f t="shared" si="27"/>
        <v>4308.8999999999996</v>
      </c>
      <c r="Q64" s="375">
        <f t="shared" si="28"/>
        <v>355276.90977500007</v>
      </c>
    </row>
    <row r="65" spans="1:18" s="253" customFormat="1" x14ac:dyDescent="0.25">
      <c r="B65" s="253">
        <f>General!$D$3+C65</f>
        <v>2033</v>
      </c>
      <c r="C65" s="253">
        <v>9</v>
      </c>
      <c r="D65" s="384">
        <v>116714</v>
      </c>
      <c r="E65" s="388">
        <f t="shared" si="18"/>
        <v>5.0575000000000002E-2</v>
      </c>
      <c r="F65" s="383">
        <f t="shared" si="21"/>
        <v>70833.726599999995</v>
      </c>
      <c r="G65" s="384">
        <v>164345.25</v>
      </c>
      <c r="H65" s="388">
        <f t="shared" si="19"/>
        <v>8.7175000000000002E-2</v>
      </c>
      <c r="I65" s="383">
        <f t="shared" si="22"/>
        <v>171921.56602500001</v>
      </c>
      <c r="J65" s="384">
        <v>14222.833333333334</v>
      </c>
      <c r="K65" s="388">
        <f t="shared" si="20"/>
        <v>0.155975</v>
      </c>
      <c r="L65" s="383">
        <f t="shared" si="23"/>
        <v>26620.87715</v>
      </c>
      <c r="M65" s="383">
        <f t="shared" si="24"/>
        <v>9432.7200000000012</v>
      </c>
      <c r="N65" s="383">
        <f t="shared" si="25"/>
        <v>27228.959999999999</v>
      </c>
      <c r="O65" s="383">
        <f t="shared" si="26"/>
        <v>44930.159999999996</v>
      </c>
      <c r="P65" s="383">
        <f t="shared" si="27"/>
        <v>4308.8999999999996</v>
      </c>
      <c r="Q65" s="375">
        <f t="shared" si="28"/>
        <v>355276.90977500007</v>
      </c>
    </row>
    <row r="66" spans="1:18" s="253" customFormat="1" x14ac:dyDescent="0.25">
      <c r="B66" s="253">
        <f>General!$D$3+C66</f>
        <v>2034</v>
      </c>
      <c r="C66" s="253">
        <v>10</v>
      </c>
      <c r="D66" s="384">
        <v>116714</v>
      </c>
      <c r="E66" s="388">
        <f t="shared" si="18"/>
        <v>5.0575000000000002E-2</v>
      </c>
      <c r="F66" s="383">
        <f t="shared" si="21"/>
        <v>70833.726599999995</v>
      </c>
      <c r="G66" s="384">
        <v>164345.25</v>
      </c>
      <c r="H66" s="388">
        <f t="shared" si="19"/>
        <v>8.7175000000000002E-2</v>
      </c>
      <c r="I66" s="383">
        <f t="shared" si="22"/>
        <v>171921.56602500001</v>
      </c>
      <c r="J66" s="384">
        <v>14222.833333333334</v>
      </c>
      <c r="K66" s="388">
        <f t="shared" si="20"/>
        <v>0.155975</v>
      </c>
      <c r="L66" s="383">
        <f t="shared" si="23"/>
        <v>26620.87715</v>
      </c>
      <c r="M66" s="383">
        <f t="shared" si="24"/>
        <v>9432.7200000000012</v>
      </c>
      <c r="N66" s="383">
        <f t="shared" si="25"/>
        <v>27228.959999999999</v>
      </c>
      <c r="O66" s="383">
        <f t="shared" si="26"/>
        <v>44930.159999999996</v>
      </c>
      <c r="P66" s="383">
        <f t="shared" si="27"/>
        <v>4308.8999999999996</v>
      </c>
      <c r="Q66" s="375">
        <f t="shared" si="28"/>
        <v>355276.90977500007</v>
      </c>
    </row>
    <row r="67" spans="1:18" s="253" customFormat="1" x14ac:dyDescent="0.25">
      <c r="F67" s="385">
        <f>SUM(F56:F66)</f>
        <v>638513.42099999986</v>
      </c>
      <c r="I67" s="385">
        <f>SUM(I56:I66)</f>
        <v>1406726.7604500002</v>
      </c>
      <c r="L67" s="385">
        <f>SUM(L56:L66)</f>
        <v>266208.77150000009</v>
      </c>
      <c r="M67" s="385">
        <f t="shared" ref="M67:P67" si="29">SUM(M56:M66)</f>
        <v>94327.200000000012</v>
      </c>
      <c r="N67" s="385">
        <f t="shared" si="29"/>
        <v>272289.59999999998</v>
      </c>
      <c r="O67" s="385">
        <f t="shared" si="29"/>
        <v>449301.59999999986</v>
      </c>
      <c r="P67" s="385">
        <f t="shared" si="29"/>
        <v>43089.000000000007</v>
      </c>
      <c r="Q67" s="386">
        <f>SUM(Q56:Q66)</f>
        <v>3170456.3529500002</v>
      </c>
      <c r="R67" s="265" t="s">
        <v>7</v>
      </c>
    </row>
    <row r="68" spans="1:18" s="278" customFormat="1" ht="15.75" thickBot="1" x14ac:dyDescent="0.3"/>
    <row r="70" spans="1:18" x14ac:dyDescent="0.25">
      <c r="A70" s="56" t="s">
        <v>100</v>
      </c>
      <c r="B70" s="56"/>
      <c r="C70" s="4"/>
      <c r="D70" s="4"/>
      <c r="E70" s="5"/>
      <c r="J70" s="253" t="s">
        <v>644</v>
      </c>
    </row>
    <row r="71" spans="1:18" s="253" customFormat="1" x14ac:dyDescent="0.25">
      <c r="A71" s="264"/>
    </row>
    <row r="72" spans="1:18" s="253" customFormat="1" x14ac:dyDescent="0.25">
      <c r="A72" s="264"/>
      <c r="B72" s="253" t="s">
        <v>337</v>
      </c>
      <c r="C72" s="263">
        <v>0.06</v>
      </c>
      <c r="D72" s="254" t="s">
        <v>416</v>
      </c>
      <c r="E72" s="257">
        <f>C72*'Inv Totales'!C24</f>
        <v>999358.26</v>
      </c>
      <c r="F72" s="253" t="s">
        <v>6</v>
      </c>
      <c r="G72" s="253" t="s">
        <v>723</v>
      </c>
    </row>
    <row r="73" spans="1:18" s="253" customFormat="1" x14ac:dyDescent="0.25">
      <c r="A73" s="264"/>
      <c r="B73" s="253" t="s">
        <v>338</v>
      </c>
      <c r="C73" s="268"/>
      <c r="D73" s="270"/>
      <c r="E73" s="257"/>
      <c r="G73" s="253" t="s">
        <v>643</v>
      </c>
    </row>
    <row r="74" spans="1:18" s="253" customFormat="1" x14ac:dyDescent="0.25">
      <c r="A74" s="264"/>
    </row>
    <row r="75" spans="1:18" s="253" customFormat="1" x14ac:dyDescent="0.25">
      <c r="D75" s="266" t="s">
        <v>342</v>
      </c>
      <c r="E75" s="267">
        <v>1000000</v>
      </c>
      <c r="F75" s="267" t="s">
        <v>6</v>
      </c>
    </row>
    <row r="76" spans="1:18" s="253" customFormat="1" x14ac:dyDescent="0.25"/>
    <row r="77" spans="1:18" s="253" customFormat="1" x14ac:dyDescent="0.25">
      <c r="B77" s="253" t="s">
        <v>721</v>
      </c>
      <c r="C77" s="260">
        <v>0.6</v>
      </c>
      <c r="D77" s="257">
        <f>C77*E75</f>
        <v>600000</v>
      </c>
      <c r="E77" s="253" t="s">
        <v>6</v>
      </c>
      <c r="F77" s="253" t="s">
        <v>646</v>
      </c>
    </row>
    <row r="78" spans="1:18" s="264" customFormat="1" x14ac:dyDescent="0.25">
      <c r="A78" s="253"/>
      <c r="B78" s="253" t="s">
        <v>722</v>
      </c>
      <c r="C78" s="260">
        <v>0.4</v>
      </c>
      <c r="D78" s="257">
        <f>C78*E75</f>
        <v>400000</v>
      </c>
      <c r="E78" s="253" t="s">
        <v>6</v>
      </c>
      <c r="F78" s="253" t="s">
        <v>646</v>
      </c>
    </row>
    <row r="79" spans="1:18" s="264" customFormat="1" x14ac:dyDescent="0.25">
      <c r="G79" s="253"/>
    </row>
    <row r="80" spans="1:18" s="264" customFormat="1" x14ac:dyDescent="0.25">
      <c r="G80" s="253"/>
    </row>
    <row r="81" spans="1:11" s="264" customFormat="1" x14ac:dyDescent="0.25"/>
    <row r="82" spans="1:11" s="264" customFormat="1" x14ac:dyDescent="0.25"/>
    <row r="83" spans="1:11" s="64" customFormat="1" ht="15.75" thickBot="1" x14ac:dyDescent="0.3">
      <c r="B83" s="61"/>
      <c r="C83" s="61"/>
      <c r="D83" s="61"/>
      <c r="E83" s="61"/>
      <c r="F83" s="61"/>
    </row>
    <row r="85" spans="1:11" s="4" customFormat="1" x14ac:dyDescent="0.25">
      <c r="A85" s="56" t="s">
        <v>414</v>
      </c>
      <c r="B85" s="56"/>
      <c r="E85" s="5"/>
      <c r="F85"/>
    </row>
    <row r="86" spans="1:11" s="4" customFormat="1" x14ac:dyDescent="0.25">
      <c r="E86" s="5"/>
      <c r="F86"/>
    </row>
    <row r="87" spans="1:11" s="4" customFormat="1" x14ac:dyDescent="0.25">
      <c r="B87" t="s">
        <v>337</v>
      </c>
      <c r="C87" s="162">
        <v>0.01</v>
      </c>
      <c r="D87" s="1" t="s">
        <v>416</v>
      </c>
      <c r="E87" s="5">
        <f>C87*'Inv Totales'!C24</f>
        <v>166559.71</v>
      </c>
      <c r="F87" t="s">
        <v>6</v>
      </c>
      <c r="G87" s="253" t="s">
        <v>644</v>
      </c>
    </row>
    <row r="88" spans="1:11" s="253" customFormat="1" x14ac:dyDescent="0.25">
      <c r="A88" s="264"/>
      <c r="B88" s="253" t="s">
        <v>338</v>
      </c>
      <c r="C88" s="268"/>
      <c r="D88" s="270"/>
      <c r="E88" s="257"/>
      <c r="G88" s="253" t="s">
        <v>643</v>
      </c>
    </row>
    <row r="89" spans="1:11" s="4" customFormat="1" x14ac:dyDescent="0.25">
      <c r="B89"/>
      <c r="C89"/>
      <c r="D89"/>
      <c r="E89"/>
      <c r="F89"/>
    </row>
    <row r="90" spans="1:11" s="4" customFormat="1" x14ac:dyDescent="0.25">
      <c r="B90"/>
      <c r="C90"/>
      <c r="D90" s="57" t="s">
        <v>342</v>
      </c>
      <c r="E90" s="58">
        <v>170000</v>
      </c>
      <c r="F90" s="58" t="s">
        <v>6</v>
      </c>
    </row>
    <row r="91" spans="1:11" s="64" customFormat="1" ht="15.75" thickBot="1" x14ac:dyDescent="0.3">
      <c r="B91" s="61"/>
      <c r="C91" s="61"/>
      <c r="D91" s="61"/>
      <c r="E91" s="61"/>
      <c r="F91" s="61"/>
    </row>
    <row r="93" spans="1:11" x14ac:dyDescent="0.25">
      <c r="A93" s="56" t="s">
        <v>418</v>
      </c>
      <c r="B93" s="56"/>
      <c r="C93" t="s">
        <v>724</v>
      </c>
    </row>
    <row r="95" spans="1:11" x14ac:dyDescent="0.25">
      <c r="B95" s="253" t="s">
        <v>337</v>
      </c>
      <c r="C95" s="162">
        <v>0.1</v>
      </c>
      <c r="D95" s="240" t="s">
        <v>419</v>
      </c>
      <c r="E95" s="5">
        <f>E75*C95</f>
        <v>100000</v>
      </c>
      <c r="F95" t="s">
        <v>6</v>
      </c>
      <c r="G95" t="s">
        <v>725</v>
      </c>
      <c r="K95" s="253" t="s">
        <v>644</v>
      </c>
    </row>
    <row r="96" spans="1:11" x14ac:dyDescent="0.25">
      <c r="B96" s="253" t="s">
        <v>338</v>
      </c>
      <c r="C96" s="391">
        <v>5.0000000000000001E-3</v>
      </c>
      <c r="D96" s="1" t="s">
        <v>416</v>
      </c>
      <c r="E96" s="5">
        <f>C96*'Inv Totales'!C24</f>
        <v>83279.854999999996</v>
      </c>
      <c r="F96" t="s">
        <v>6</v>
      </c>
      <c r="G96" t="s">
        <v>726</v>
      </c>
      <c r="K96" s="253" t="s">
        <v>644</v>
      </c>
    </row>
    <row r="97" spans="1:12" s="253" customFormat="1" x14ac:dyDescent="0.25">
      <c r="A97" s="264"/>
      <c r="B97" s="253" t="s">
        <v>339</v>
      </c>
      <c r="C97" s="268"/>
      <c r="D97" s="270"/>
      <c r="E97" s="257"/>
      <c r="G97" s="253" t="s">
        <v>643</v>
      </c>
    </row>
    <row r="99" spans="1:12" x14ac:dyDescent="0.25">
      <c r="D99" s="57" t="s">
        <v>342</v>
      </c>
      <c r="E99" s="58">
        <v>90000</v>
      </c>
      <c r="F99" s="58" t="s">
        <v>6</v>
      </c>
    </row>
    <row r="100" spans="1:12" s="61" customFormat="1" ht="15.75" thickBot="1" x14ac:dyDescent="0.3"/>
    <row r="102" spans="1:12" x14ac:dyDescent="0.25">
      <c r="A102" s="56" t="s">
        <v>420</v>
      </c>
      <c r="B102" s="56"/>
    </row>
    <row r="104" spans="1:12" s="4" customFormat="1" x14ac:dyDescent="0.25">
      <c r="B104" t="s">
        <v>337</v>
      </c>
      <c r="C104" s="162"/>
      <c r="D104" s="159"/>
      <c r="E104" s="160">
        <f>RRHH!R16+RRHH!R17</f>
        <v>100305</v>
      </c>
      <c r="F104" s="149" t="s">
        <v>6</v>
      </c>
      <c r="G104" t="s">
        <v>728</v>
      </c>
      <c r="L104" s="253" t="s">
        <v>644</v>
      </c>
    </row>
    <row r="105" spans="1:12" s="4" customFormat="1" x14ac:dyDescent="0.25">
      <c r="B105" t="s">
        <v>338</v>
      </c>
      <c r="C105" s="162">
        <v>0.1</v>
      </c>
      <c r="D105" s="1" t="s">
        <v>421</v>
      </c>
      <c r="E105" s="5">
        <f>C105*RRHH!R20</f>
        <v>135578.92500000002</v>
      </c>
      <c r="F105" t="s">
        <v>6</v>
      </c>
      <c r="G105" t="s">
        <v>727</v>
      </c>
      <c r="L105" s="253" t="s">
        <v>644</v>
      </c>
    </row>
    <row r="106" spans="1:12" s="4" customFormat="1" x14ac:dyDescent="0.25">
      <c r="B106"/>
      <c r="C106"/>
      <c r="D106"/>
      <c r="E106"/>
      <c r="F106"/>
    </row>
    <row r="107" spans="1:12" s="4" customFormat="1" x14ac:dyDescent="0.25">
      <c r="B107"/>
      <c r="C107"/>
      <c r="D107" s="57" t="s">
        <v>342</v>
      </c>
      <c r="E107" s="58">
        <v>120000</v>
      </c>
      <c r="F107" s="58" t="s">
        <v>6</v>
      </c>
    </row>
    <row r="108" spans="1:12" s="64" customFormat="1" ht="15.75" thickBot="1" x14ac:dyDescent="0.3">
      <c r="B108" s="61"/>
      <c r="C108" s="61"/>
      <c r="D108" s="61"/>
      <c r="E108" s="61"/>
      <c r="F108" s="61"/>
    </row>
    <row r="110" spans="1:12" x14ac:dyDescent="0.25">
      <c r="A110" s="56" t="s">
        <v>466</v>
      </c>
      <c r="B110" s="56"/>
    </row>
    <row r="112" spans="1:12" s="4" customFormat="1" x14ac:dyDescent="0.25">
      <c r="B112" t="s">
        <v>337</v>
      </c>
      <c r="C112" s="531">
        <v>0.5</v>
      </c>
      <c r="D112" s="240" t="s">
        <v>467</v>
      </c>
      <c r="E112" s="5">
        <f>(Costos!F8)*C112</f>
        <v>677894.625</v>
      </c>
      <c r="F112" t="s">
        <v>6</v>
      </c>
      <c r="G112" s="1" t="s">
        <v>444</v>
      </c>
      <c r="H112" t="s">
        <v>445</v>
      </c>
      <c r="L112" s="253" t="s">
        <v>644</v>
      </c>
    </row>
    <row r="113" spans="1:12" s="4" customFormat="1" x14ac:dyDescent="0.25">
      <c r="B113" s="253" t="s">
        <v>338</v>
      </c>
      <c r="C113" s="531">
        <v>0.15</v>
      </c>
      <c r="D113" s="240" t="s">
        <v>423</v>
      </c>
      <c r="E113" s="5">
        <f>('Costos Totales'!D23/Costos!C68)*C113</f>
        <v>129825.49306365354</v>
      </c>
      <c r="F113" t="s">
        <v>6</v>
      </c>
      <c r="G113" s="1" t="s">
        <v>729</v>
      </c>
      <c r="H113" t="s">
        <v>730</v>
      </c>
      <c r="L113" s="253" t="s">
        <v>644</v>
      </c>
    </row>
    <row r="114" spans="1:12" s="253" customFormat="1" x14ac:dyDescent="0.25">
      <c r="A114" s="264"/>
      <c r="B114" t="s">
        <v>339</v>
      </c>
      <c r="C114" s="268"/>
      <c r="D114" s="270"/>
      <c r="E114" s="257"/>
      <c r="G114" s="253" t="s">
        <v>643</v>
      </c>
    </row>
    <row r="115" spans="1:12" s="4" customFormat="1" x14ac:dyDescent="0.25">
      <c r="B115"/>
      <c r="C115"/>
      <c r="D115"/>
      <c r="E115"/>
      <c r="F115"/>
    </row>
    <row r="116" spans="1:12" s="4" customFormat="1" x14ac:dyDescent="0.25">
      <c r="B116"/>
      <c r="C116"/>
      <c r="D116" s="57" t="s">
        <v>342</v>
      </c>
      <c r="E116" s="58">
        <v>400000</v>
      </c>
      <c r="F116" s="58" t="s">
        <v>6</v>
      </c>
    </row>
    <row r="117" spans="1:12" s="61" customFormat="1" ht="15.75" thickBot="1" x14ac:dyDescent="0.3"/>
    <row r="119" spans="1:12" x14ac:dyDescent="0.25">
      <c r="A119" s="56" t="s">
        <v>732</v>
      </c>
      <c r="B119" s="56"/>
    </row>
    <row r="121" spans="1:12" s="4" customFormat="1" x14ac:dyDescent="0.25">
      <c r="B121" s="253" t="s">
        <v>337</v>
      </c>
      <c r="C121" s="162">
        <v>0.02</v>
      </c>
      <c r="D121" s="240" t="s">
        <v>423</v>
      </c>
      <c r="E121" s="5">
        <f>('Costos Totales'!D23/Costos!C68)*C121</f>
        <v>17310.065741820472</v>
      </c>
      <c r="F121" t="s">
        <v>6</v>
      </c>
      <c r="G121" s="1" t="s">
        <v>733</v>
      </c>
      <c r="H121" t="s">
        <v>730</v>
      </c>
      <c r="L121" s="253" t="s">
        <v>644</v>
      </c>
    </row>
    <row r="122" spans="1:12" s="253" customFormat="1" x14ac:dyDescent="0.25">
      <c r="A122" s="264"/>
      <c r="B122" t="s">
        <v>338</v>
      </c>
      <c r="C122" s="268"/>
      <c r="D122" s="270"/>
      <c r="E122" s="257"/>
      <c r="G122" s="253" t="s">
        <v>643</v>
      </c>
    </row>
    <row r="123" spans="1:12" s="4" customFormat="1" x14ac:dyDescent="0.25">
      <c r="B123"/>
      <c r="C123"/>
      <c r="D123"/>
      <c r="E123"/>
      <c r="F123"/>
    </row>
    <row r="124" spans="1:12" s="4" customFormat="1" x14ac:dyDescent="0.25">
      <c r="B124"/>
      <c r="C124"/>
      <c r="D124" s="57" t="s">
        <v>342</v>
      </c>
      <c r="E124" s="58">
        <v>20000</v>
      </c>
      <c r="F124" s="58" t="s">
        <v>6</v>
      </c>
    </row>
    <row r="125" spans="1:12" s="61" customFormat="1" ht="15.75" thickBot="1" x14ac:dyDescent="0.3"/>
  </sheetData>
  <mergeCells count="2">
    <mergeCell ref="H46:J46"/>
    <mergeCell ref="E46:G46"/>
  </mergeCells>
  <phoneticPr fontId="7"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8A180-6715-4D8E-A8C9-5DFA01C92A06}">
  <dimension ref="A2:P100"/>
  <sheetViews>
    <sheetView tabSelected="1" workbookViewId="0">
      <selection activeCell="O6" sqref="O6"/>
    </sheetView>
  </sheetViews>
  <sheetFormatPr baseColWidth="10" defaultRowHeight="15" x14ac:dyDescent="0.25"/>
  <cols>
    <col min="13" max="13" width="11.7109375" bestFit="1" customWidth="1"/>
  </cols>
  <sheetData>
    <row r="2" spans="1:16" x14ac:dyDescent="0.25">
      <c r="A2" s="56" t="s">
        <v>545</v>
      </c>
      <c r="B2" s="56"/>
      <c r="C2" s="56"/>
      <c r="D2" s="56"/>
    </row>
    <row r="3" spans="1:16" ht="15.75" thickBot="1" x14ac:dyDescent="0.3"/>
    <row r="4" spans="1:16" ht="15.75" thickBot="1" x14ac:dyDescent="0.3">
      <c r="B4" s="157" t="str">
        <f>FF!C18</f>
        <v>VAN</v>
      </c>
      <c r="C4" s="228">
        <f>FF!D18/1000000</f>
        <v>8.1152180382192949</v>
      </c>
      <c r="D4" s="147" t="s">
        <v>546</v>
      </c>
    </row>
    <row r="5" spans="1:16" ht="15.75" thickBot="1" x14ac:dyDescent="0.3"/>
    <row r="6" spans="1:16" ht="30.75" thickBot="1" x14ac:dyDescent="0.3">
      <c r="B6" s="53" t="s">
        <v>516</v>
      </c>
      <c r="C6" s="51" t="s">
        <v>517</v>
      </c>
      <c r="D6" s="101" t="s">
        <v>522</v>
      </c>
      <c r="E6" s="51" t="s">
        <v>41</v>
      </c>
      <c r="F6" s="101" t="s">
        <v>522</v>
      </c>
      <c r="G6" s="51" t="s">
        <v>45</v>
      </c>
      <c r="H6" s="101" t="s">
        <v>522</v>
      </c>
      <c r="I6" s="51" t="s">
        <v>48</v>
      </c>
      <c r="J6" s="101" t="s">
        <v>522</v>
      </c>
      <c r="K6" s="51" t="s">
        <v>51</v>
      </c>
      <c r="L6" s="101" t="s">
        <v>522</v>
      </c>
      <c r="M6" s="51" t="s">
        <v>521</v>
      </c>
      <c r="N6" s="101" t="s">
        <v>522</v>
      </c>
      <c r="O6" s="51" t="s">
        <v>523</v>
      </c>
      <c r="P6" s="101" t="s">
        <v>522</v>
      </c>
    </row>
    <row r="7" spans="1:16" x14ac:dyDescent="0.25">
      <c r="B7" s="229">
        <v>-0.5</v>
      </c>
      <c r="C7" s="460">
        <f t="shared" ref="C7:C10" si="0">$C$12*(1+B7)</f>
        <v>450</v>
      </c>
      <c r="D7" s="464">
        <v>-12.4</v>
      </c>
      <c r="E7" s="460">
        <f>$E$12*(1+B7)</f>
        <v>100</v>
      </c>
      <c r="F7" s="464">
        <v>11.89</v>
      </c>
      <c r="G7" s="460">
        <f>$G$12*(1+B7)</f>
        <v>150</v>
      </c>
      <c r="H7" s="464"/>
      <c r="I7" s="460">
        <f>$I$12*(1+B7)</f>
        <v>100</v>
      </c>
      <c r="J7" s="464"/>
      <c r="K7" s="460">
        <f>$K$12*(1+B7)</f>
        <v>200</v>
      </c>
      <c r="L7" s="464"/>
      <c r="M7" s="461">
        <f>$M$12*(1+B7)</f>
        <v>824730</v>
      </c>
      <c r="N7" s="464"/>
      <c r="O7" s="461">
        <f>$O$12*(1+B7)</f>
        <v>4604101.5</v>
      </c>
      <c r="P7" s="464"/>
    </row>
    <row r="8" spans="1:16" x14ac:dyDescent="0.25">
      <c r="B8" s="229">
        <v>-0.4</v>
      </c>
      <c r="C8" s="460">
        <f t="shared" si="0"/>
        <v>540</v>
      </c>
      <c r="D8" s="464">
        <v>-7.25</v>
      </c>
      <c r="E8" s="460">
        <f t="shared" ref="E8:E11" si="1">$E$12*(1+B8)</f>
        <v>120</v>
      </c>
      <c r="F8" s="464">
        <v>11.51</v>
      </c>
      <c r="G8" s="460">
        <f t="shared" ref="G8:G11" si="2">$G$12*(1+B8)</f>
        <v>180</v>
      </c>
      <c r="H8" s="464"/>
      <c r="I8" s="460">
        <f t="shared" ref="I8:I11" si="3">$I$12*(1+B8)</f>
        <v>120</v>
      </c>
      <c r="J8" s="464"/>
      <c r="K8" s="460">
        <f t="shared" ref="K8:K11" si="4">$K$12*(1+B8)</f>
        <v>240</v>
      </c>
      <c r="L8" s="464"/>
      <c r="M8" s="461">
        <f t="shared" ref="M8:M11" si="5">$M$12*(1+B8)</f>
        <v>989676</v>
      </c>
      <c r="N8" s="464"/>
      <c r="O8" s="461">
        <f t="shared" ref="O8:O11" si="6">$O$12*(1+B8)</f>
        <v>5524921.7999999998</v>
      </c>
      <c r="P8" s="464"/>
    </row>
    <row r="9" spans="1:16" x14ac:dyDescent="0.25">
      <c r="B9" s="229">
        <v>-0.3</v>
      </c>
      <c r="C9" s="460">
        <f t="shared" si="0"/>
        <v>630</v>
      </c>
      <c r="D9" s="464">
        <v>-2.74</v>
      </c>
      <c r="E9" s="460">
        <f t="shared" si="1"/>
        <v>140</v>
      </c>
      <c r="F9" s="464">
        <v>11.13</v>
      </c>
      <c r="G9" s="460">
        <f t="shared" si="2"/>
        <v>210</v>
      </c>
      <c r="H9" s="464"/>
      <c r="I9" s="460">
        <f t="shared" si="3"/>
        <v>140</v>
      </c>
      <c r="J9" s="464"/>
      <c r="K9" s="460">
        <f t="shared" si="4"/>
        <v>280</v>
      </c>
      <c r="L9" s="464"/>
      <c r="M9" s="461">
        <f t="shared" si="5"/>
        <v>1154622</v>
      </c>
      <c r="N9" s="464"/>
      <c r="O9" s="461">
        <f t="shared" si="6"/>
        <v>6445742.0999999996</v>
      </c>
      <c r="P9" s="464"/>
    </row>
    <row r="10" spans="1:16" x14ac:dyDescent="0.25">
      <c r="B10" s="229">
        <v>-0.2</v>
      </c>
      <c r="C10" s="460">
        <f t="shared" si="0"/>
        <v>720</v>
      </c>
      <c r="D10" s="464">
        <v>1.57</v>
      </c>
      <c r="E10" s="460">
        <f t="shared" si="1"/>
        <v>160</v>
      </c>
      <c r="F10" s="464">
        <v>10.76</v>
      </c>
      <c r="G10" s="460">
        <f t="shared" si="2"/>
        <v>240</v>
      </c>
      <c r="H10" s="464"/>
      <c r="I10" s="460">
        <f t="shared" si="3"/>
        <v>160</v>
      </c>
      <c r="J10" s="464"/>
      <c r="K10" s="460">
        <f t="shared" si="4"/>
        <v>320</v>
      </c>
      <c r="L10" s="464"/>
      <c r="M10" s="461">
        <f t="shared" si="5"/>
        <v>1319568</v>
      </c>
      <c r="N10" s="464"/>
      <c r="O10" s="461">
        <f t="shared" si="6"/>
        <v>7366562.4000000004</v>
      </c>
      <c r="P10" s="464"/>
    </row>
    <row r="11" spans="1:16" ht="15.75" thickBot="1" x14ac:dyDescent="0.3">
      <c r="B11" s="229">
        <v>-0.1</v>
      </c>
      <c r="C11" s="460">
        <f>$C$12*(1+B11)</f>
        <v>810</v>
      </c>
      <c r="D11" s="464">
        <v>5.79</v>
      </c>
      <c r="E11" s="460">
        <f t="shared" si="1"/>
        <v>180</v>
      </c>
      <c r="F11" s="464">
        <v>10.38</v>
      </c>
      <c r="G11" s="460">
        <f t="shared" si="2"/>
        <v>270</v>
      </c>
      <c r="H11" s="464"/>
      <c r="I11" s="460">
        <f t="shared" si="3"/>
        <v>180</v>
      </c>
      <c r="J11" s="464"/>
      <c r="K11" s="460">
        <f t="shared" si="4"/>
        <v>360</v>
      </c>
      <c r="L11" s="464"/>
      <c r="M11" s="461">
        <f t="shared" si="5"/>
        <v>1484514</v>
      </c>
      <c r="N11" s="464"/>
      <c r="O11" s="461">
        <f t="shared" si="6"/>
        <v>8287382.7000000002</v>
      </c>
      <c r="P11" s="464"/>
    </row>
    <row r="12" spans="1:16" ht="15.75" thickBot="1" x14ac:dyDescent="0.3">
      <c r="B12" s="234">
        <v>0</v>
      </c>
      <c r="C12" s="231">
        <v>900</v>
      </c>
      <c r="D12" s="232">
        <v>10</v>
      </c>
      <c r="E12" s="231">
        <v>200</v>
      </c>
      <c r="F12" s="232">
        <v>10</v>
      </c>
      <c r="G12" s="231">
        <v>300</v>
      </c>
      <c r="H12" s="232">
        <v>10</v>
      </c>
      <c r="I12" s="231">
        <v>200</v>
      </c>
      <c r="J12" s="232">
        <v>10</v>
      </c>
      <c r="K12" s="231">
        <v>400</v>
      </c>
      <c r="L12" s="232">
        <v>10</v>
      </c>
      <c r="M12" s="233">
        <v>1649460</v>
      </c>
      <c r="N12" s="232">
        <v>10</v>
      </c>
      <c r="O12" s="233">
        <v>9208203</v>
      </c>
      <c r="P12" s="232">
        <v>10</v>
      </c>
    </row>
    <row r="13" spans="1:16" x14ac:dyDescent="0.25">
      <c r="B13" s="475">
        <v>0.1</v>
      </c>
      <c r="C13" s="476">
        <f>$C$12*(1+B13)</f>
        <v>990.00000000000011</v>
      </c>
      <c r="D13" s="477">
        <v>14.22</v>
      </c>
      <c r="E13" s="476">
        <f>$E$12*(1+B13)</f>
        <v>220.00000000000003</v>
      </c>
      <c r="F13" s="477">
        <v>9.6199999999999992</v>
      </c>
      <c r="G13" s="476">
        <f>$G$12*(1+B13)</f>
        <v>330</v>
      </c>
      <c r="H13" s="477"/>
      <c r="I13" s="476">
        <f>$I$12*(1+B13)</f>
        <v>220.00000000000003</v>
      </c>
      <c r="J13" s="477"/>
      <c r="K13" s="476">
        <f>$K$12*(1+B13)</f>
        <v>440.00000000000006</v>
      </c>
      <c r="L13" s="477"/>
      <c r="M13" s="478">
        <f>$M$12*(1+B13)</f>
        <v>1814406.0000000002</v>
      </c>
      <c r="N13" s="477"/>
      <c r="O13" s="478">
        <f>$O$12*(1+B13)</f>
        <v>10129023.300000001</v>
      </c>
      <c r="P13" s="477"/>
    </row>
    <row r="14" spans="1:16" x14ac:dyDescent="0.25">
      <c r="B14" s="229">
        <v>0.2</v>
      </c>
      <c r="C14" s="460">
        <f t="shared" ref="C14:C17" si="7">$C$12*(1+B14)</f>
        <v>1080</v>
      </c>
      <c r="D14" s="464">
        <v>18.43</v>
      </c>
      <c r="E14" s="460">
        <f t="shared" ref="E14:E17" si="8">$E$12*(1+B14)</f>
        <v>240</v>
      </c>
      <c r="F14" s="464">
        <v>9.25</v>
      </c>
      <c r="G14" s="460">
        <f t="shared" ref="G14:G17" si="9">$G$12*(1+B14)</f>
        <v>360</v>
      </c>
      <c r="H14" s="464"/>
      <c r="I14" s="460">
        <f t="shared" ref="I14:I17" si="10">$I$12*(1+B14)</f>
        <v>240</v>
      </c>
      <c r="J14" s="464"/>
      <c r="K14" s="460">
        <f t="shared" ref="K14:K17" si="11">$K$12*(1+B14)</f>
        <v>480</v>
      </c>
      <c r="L14" s="464"/>
      <c r="M14" s="461">
        <f t="shared" ref="M14:M17" si="12">$M$12*(1+B14)</f>
        <v>1979352</v>
      </c>
      <c r="N14" s="464"/>
      <c r="O14" s="461">
        <f t="shared" ref="O14:O17" si="13">$O$12*(1+B14)</f>
        <v>11049843.6</v>
      </c>
      <c r="P14" s="464"/>
    </row>
    <row r="15" spans="1:16" x14ac:dyDescent="0.25">
      <c r="B15" s="229">
        <v>0.3</v>
      </c>
      <c r="C15" s="460">
        <f t="shared" si="7"/>
        <v>1170</v>
      </c>
      <c r="D15" s="464">
        <v>22.65</v>
      </c>
      <c r="E15" s="460">
        <f t="shared" si="8"/>
        <v>260</v>
      </c>
      <c r="F15" s="464">
        <v>8.8699999999999992</v>
      </c>
      <c r="G15" s="460">
        <f t="shared" si="9"/>
        <v>390</v>
      </c>
      <c r="H15" s="464"/>
      <c r="I15" s="460">
        <f t="shared" si="10"/>
        <v>260</v>
      </c>
      <c r="J15" s="464"/>
      <c r="K15" s="460">
        <f t="shared" si="11"/>
        <v>520</v>
      </c>
      <c r="L15" s="464"/>
      <c r="M15" s="461">
        <f t="shared" si="12"/>
        <v>2144298</v>
      </c>
      <c r="N15" s="464"/>
      <c r="O15" s="461">
        <f t="shared" si="13"/>
        <v>11970663.9</v>
      </c>
      <c r="P15" s="464"/>
    </row>
    <row r="16" spans="1:16" x14ac:dyDescent="0.25">
      <c r="B16" s="229">
        <v>0.4</v>
      </c>
      <c r="C16" s="460">
        <f t="shared" si="7"/>
        <v>1260</v>
      </c>
      <c r="D16" s="464">
        <v>26.87</v>
      </c>
      <c r="E16" s="460">
        <f t="shared" si="8"/>
        <v>280</v>
      </c>
      <c r="F16" s="464">
        <v>8.49</v>
      </c>
      <c r="G16" s="460">
        <f t="shared" si="9"/>
        <v>420</v>
      </c>
      <c r="H16" s="464"/>
      <c r="I16" s="460">
        <f t="shared" si="10"/>
        <v>280</v>
      </c>
      <c r="J16" s="464"/>
      <c r="K16" s="460">
        <f t="shared" si="11"/>
        <v>560</v>
      </c>
      <c r="L16" s="464"/>
      <c r="M16" s="461">
        <f t="shared" si="12"/>
        <v>2309244</v>
      </c>
      <c r="N16" s="464"/>
      <c r="O16" s="461">
        <f t="shared" si="13"/>
        <v>12891484.199999999</v>
      </c>
      <c r="P16" s="464"/>
    </row>
    <row r="17" spans="2:16" ht="15.75" thickBot="1" x14ac:dyDescent="0.3">
      <c r="B17" s="230">
        <v>0.5</v>
      </c>
      <c r="C17" s="462">
        <f t="shared" si="7"/>
        <v>1350</v>
      </c>
      <c r="D17" s="465">
        <v>31.08</v>
      </c>
      <c r="E17" s="462">
        <f t="shared" si="8"/>
        <v>300</v>
      </c>
      <c r="F17" s="465">
        <v>8.1199999999999992</v>
      </c>
      <c r="G17" s="462">
        <f t="shared" si="9"/>
        <v>450</v>
      </c>
      <c r="H17" s="465"/>
      <c r="I17" s="462">
        <f t="shared" si="10"/>
        <v>300</v>
      </c>
      <c r="J17" s="465"/>
      <c r="K17" s="462">
        <f t="shared" si="11"/>
        <v>600</v>
      </c>
      <c r="L17" s="465"/>
      <c r="M17" s="463">
        <f t="shared" si="12"/>
        <v>2474190</v>
      </c>
      <c r="N17" s="465"/>
      <c r="O17" s="463">
        <f t="shared" si="13"/>
        <v>13812304.5</v>
      </c>
      <c r="P17" s="465"/>
    </row>
    <row r="50" spans="1:16" s="61" customFormat="1" ht="15.75" thickBot="1" x14ac:dyDescent="0.3"/>
    <row r="52" spans="1:16" x14ac:dyDescent="0.25">
      <c r="A52" s="56" t="s">
        <v>547</v>
      </c>
      <c r="B52" s="56"/>
      <c r="C52" s="56"/>
      <c r="D52" s="56"/>
    </row>
    <row r="53" spans="1:16" ht="15.75" thickBot="1" x14ac:dyDescent="0.3"/>
    <row r="54" spans="1:16" ht="15.75" thickBot="1" x14ac:dyDescent="0.3">
      <c r="B54" s="157" t="str">
        <f>FF!C18</f>
        <v>VAN</v>
      </c>
      <c r="C54" s="228">
        <f>FF!D43/1000000</f>
        <v>10.60088398424973</v>
      </c>
      <c r="D54" s="147" t="s">
        <v>546</v>
      </c>
    </row>
    <row r="55" spans="1:16" ht="15.75" thickBot="1" x14ac:dyDescent="0.3"/>
    <row r="56" spans="1:16" ht="30.75" thickBot="1" x14ac:dyDescent="0.3">
      <c r="B56" s="53" t="s">
        <v>516</v>
      </c>
      <c r="C56" s="51" t="s">
        <v>517</v>
      </c>
      <c r="D56" s="101" t="s">
        <v>522</v>
      </c>
      <c r="E56" s="51" t="s">
        <v>41</v>
      </c>
      <c r="F56" s="101" t="s">
        <v>522</v>
      </c>
      <c r="G56" s="51" t="s">
        <v>45</v>
      </c>
      <c r="H56" s="101" t="s">
        <v>522</v>
      </c>
      <c r="I56" s="51" t="s">
        <v>48</v>
      </c>
      <c r="J56" s="101" t="s">
        <v>522</v>
      </c>
      <c r="K56" s="51" t="s">
        <v>51</v>
      </c>
      <c r="L56" s="101" t="s">
        <v>522</v>
      </c>
      <c r="M56" s="51" t="s">
        <v>521</v>
      </c>
      <c r="N56" s="101" t="s">
        <v>522</v>
      </c>
      <c r="O56" s="51" t="s">
        <v>523</v>
      </c>
      <c r="P56" s="101" t="s">
        <v>522</v>
      </c>
    </row>
    <row r="57" spans="1:16" x14ac:dyDescent="0.25">
      <c r="B57" s="229">
        <f>B7</f>
        <v>-0.5</v>
      </c>
      <c r="C57" s="460">
        <f>C7</f>
        <v>450</v>
      </c>
      <c r="D57" s="466"/>
      <c r="E57" s="460">
        <f>E7</f>
        <v>100</v>
      </c>
      <c r="F57" s="466"/>
      <c r="G57" s="460">
        <f>G7</f>
        <v>150</v>
      </c>
      <c r="H57" s="466"/>
      <c r="I57" s="460">
        <f>I7</f>
        <v>100</v>
      </c>
      <c r="J57" s="464"/>
      <c r="K57" s="460">
        <f>K7</f>
        <v>200</v>
      </c>
      <c r="L57" s="464"/>
      <c r="M57" s="461">
        <f>M7</f>
        <v>824730</v>
      </c>
      <c r="N57" s="464"/>
      <c r="O57" s="461">
        <f>O7</f>
        <v>4604101.5</v>
      </c>
      <c r="P57" s="464"/>
    </row>
    <row r="58" spans="1:16" x14ac:dyDescent="0.25">
      <c r="B58" s="229">
        <f t="shared" ref="B58:C67" si="14">B8</f>
        <v>-0.4</v>
      </c>
      <c r="C58" s="460">
        <f t="shared" si="14"/>
        <v>540</v>
      </c>
      <c r="D58" s="466"/>
      <c r="E58" s="460">
        <f t="shared" ref="E58:E67" si="15">E8</f>
        <v>120</v>
      </c>
      <c r="F58" s="466"/>
      <c r="G58" s="460">
        <f t="shared" ref="G58:G67" si="16">G8</f>
        <v>180</v>
      </c>
      <c r="H58" s="466"/>
      <c r="I58" s="460">
        <f t="shared" ref="I58:I67" si="17">I8</f>
        <v>120</v>
      </c>
      <c r="J58" s="464"/>
      <c r="K58" s="460">
        <f t="shared" ref="K58:K67" si="18">K8</f>
        <v>240</v>
      </c>
      <c r="L58" s="464"/>
      <c r="M58" s="461">
        <f t="shared" ref="M58:M67" si="19">M8</f>
        <v>989676</v>
      </c>
      <c r="N58" s="464"/>
      <c r="O58" s="461">
        <f t="shared" ref="O58:O67" si="20">O8</f>
        <v>5524921.7999999998</v>
      </c>
      <c r="P58" s="464"/>
    </row>
    <row r="59" spans="1:16" x14ac:dyDescent="0.25">
      <c r="B59" s="229">
        <f t="shared" si="14"/>
        <v>-0.3</v>
      </c>
      <c r="C59" s="460">
        <f t="shared" si="14"/>
        <v>630</v>
      </c>
      <c r="D59" s="466"/>
      <c r="E59" s="460">
        <f t="shared" si="15"/>
        <v>140</v>
      </c>
      <c r="F59" s="466"/>
      <c r="G59" s="460">
        <f t="shared" si="16"/>
        <v>210</v>
      </c>
      <c r="H59" s="466"/>
      <c r="I59" s="460">
        <f t="shared" si="17"/>
        <v>140</v>
      </c>
      <c r="J59" s="464"/>
      <c r="K59" s="460">
        <f t="shared" si="18"/>
        <v>280</v>
      </c>
      <c r="L59" s="464"/>
      <c r="M59" s="461">
        <f t="shared" si="19"/>
        <v>1154622</v>
      </c>
      <c r="N59" s="464"/>
      <c r="O59" s="461">
        <f t="shared" si="20"/>
        <v>6445742.0999999996</v>
      </c>
      <c r="P59" s="464"/>
    </row>
    <row r="60" spans="1:16" x14ac:dyDescent="0.25">
      <c r="B60" s="229">
        <f t="shared" si="14"/>
        <v>-0.2</v>
      </c>
      <c r="C60" s="460">
        <f t="shared" si="14"/>
        <v>720</v>
      </c>
      <c r="D60" s="466"/>
      <c r="E60" s="460">
        <f t="shared" si="15"/>
        <v>160</v>
      </c>
      <c r="F60" s="466"/>
      <c r="G60" s="460">
        <f t="shared" si="16"/>
        <v>240</v>
      </c>
      <c r="H60" s="466"/>
      <c r="I60" s="460">
        <f t="shared" si="17"/>
        <v>160</v>
      </c>
      <c r="J60" s="464"/>
      <c r="K60" s="460">
        <f t="shared" si="18"/>
        <v>320</v>
      </c>
      <c r="L60" s="464"/>
      <c r="M60" s="461">
        <f t="shared" si="19"/>
        <v>1319568</v>
      </c>
      <c r="N60" s="464"/>
      <c r="O60" s="461">
        <f t="shared" si="20"/>
        <v>7366562.4000000004</v>
      </c>
      <c r="P60" s="464"/>
    </row>
    <row r="61" spans="1:16" ht="15.75" thickBot="1" x14ac:dyDescent="0.3">
      <c r="B61" s="229">
        <f t="shared" si="14"/>
        <v>-0.1</v>
      </c>
      <c r="C61" s="460">
        <f t="shared" si="14"/>
        <v>810</v>
      </c>
      <c r="D61" s="466"/>
      <c r="E61" s="460">
        <f t="shared" si="15"/>
        <v>180</v>
      </c>
      <c r="F61" s="466"/>
      <c r="G61" s="460">
        <f t="shared" si="16"/>
        <v>270</v>
      </c>
      <c r="H61" s="466"/>
      <c r="I61" s="460">
        <f t="shared" si="17"/>
        <v>180</v>
      </c>
      <c r="J61" s="464"/>
      <c r="K61" s="460">
        <f t="shared" si="18"/>
        <v>360</v>
      </c>
      <c r="L61" s="464"/>
      <c r="M61" s="461">
        <f t="shared" si="19"/>
        <v>1484514</v>
      </c>
      <c r="N61" s="464"/>
      <c r="O61" s="461">
        <f t="shared" si="20"/>
        <v>8287382.7000000002</v>
      </c>
      <c r="P61" s="464"/>
    </row>
    <row r="62" spans="1:16" ht="15.75" thickBot="1" x14ac:dyDescent="0.3">
      <c r="B62" s="234">
        <f t="shared" si="14"/>
        <v>0</v>
      </c>
      <c r="C62" s="231">
        <f t="shared" si="14"/>
        <v>900</v>
      </c>
      <c r="D62" s="232"/>
      <c r="E62" s="231">
        <f t="shared" si="15"/>
        <v>200</v>
      </c>
      <c r="F62" s="232"/>
      <c r="G62" s="231">
        <f t="shared" si="16"/>
        <v>300</v>
      </c>
      <c r="H62" s="232"/>
      <c r="I62" s="231">
        <f t="shared" si="17"/>
        <v>200</v>
      </c>
      <c r="J62" s="232"/>
      <c r="K62" s="231">
        <f t="shared" si="18"/>
        <v>400</v>
      </c>
      <c r="L62" s="232"/>
      <c r="M62" s="233">
        <f t="shared" si="19"/>
        <v>1649460</v>
      </c>
      <c r="N62" s="232"/>
      <c r="O62" s="233">
        <f t="shared" si="20"/>
        <v>9208203</v>
      </c>
      <c r="P62" s="232"/>
    </row>
    <row r="63" spans="1:16" x14ac:dyDescent="0.25">
      <c r="B63" s="229">
        <f t="shared" si="14"/>
        <v>0.1</v>
      </c>
      <c r="C63" s="460">
        <f t="shared" si="14"/>
        <v>990.00000000000011</v>
      </c>
      <c r="D63" s="466"/>
      <c r="E63" s="460">
        <f t="shared" si="15"/>
        <v>220.00000000000003</v>
      </c>
      <c r="F63" s="466"/>
      <c r="G63" s="460">
        <f t="shared" si="16"/>
        <v>330</v>
      </c>
      <c r="H63" s="466"/>
      <c r="I63" s="460">
        <f t="shared" si="17"/>
        <v>220.00000000000003</v>
      </c>
      <c r="J63" s="464"/>
      <c r="K63" s="460">
        <f t="shared" si="18"/>
        <v>440.00000000000006</v>
      </c>
      <c r="L63" s="464"/>
      <c r="M63" s="461">
        <f t="shared" si="19"/>
        <v>1814406.0000000002</v>
      </c>
      <c r="N63" s="464"/>
      <c r="O63" s="461">
        <f t="shared" si="20"/>
        <v>10129023.300000001</v>
      </c>
      <c r="P63" s="464"/>
    </row>
    <row r="64" spans="1:16" x14ac:dyDescent="0.25">
      <c r="B64" s="229">
        <f t="shared" si="14"/>
        <v>0.2</v>
      </c>
      <c r="C64" s="460">
        <f t="shared" si="14"/>
        <v>1080</v>
      </c>
      <c r="D64" s="466"/>
      <c r="E64" s="460">
        <f t="shared" si="15"/>
        <v>240</v>
      </c>
      <c r="F64" s="466"/>
      <c r="G64" s="460">
        <f t="shared" si="16"/>
        <v>360</v>
      </c>
      <c r="H64" s="466"/>
      <c r="I64" s="460">
        <f t="shared" si="17"/>
        <v>240</v>
      </c>
      <c r="J64" s="464"/>
      <c r="K64" s="460">
        <f t="shared" si="18"/>
        <v>480</v>
      </c>
      <c r="L64" s="464"/>
      <c r="M64" s="461">
        <f t="shared" si="19"/>
        <v>1979352</v>
      </c>
      <c r="N64" s="464"/>
      <c r="O64" s="461">
        <f t="shared" si="20"/>
        <v>11049843.6</v>
      </c>
      <c r="P64" s="464"/>
    </row>
    <row r="65" spans="2:16" x14ac:dyDescent="0.25">
      <c r="B65" s="229">
        <f t="shared" si="14"/>
        <v>0.3</v>
      </c>
      <c r="C65" s="460">
        <f t="shared" si="14"/>
        <v>1170</v>
      </c>
      <c r="D65" s="466"/>
      <c r="E65" s="460">
        <f t="shared" si="15"/>
        <v>260</v>
      </c>
      <c r="F65" s="466"/>
      <c r="G65" s="460">
        <f t="shared" si="16"/>
        <v>390</v>
      </c>
      <c r="H65" s="466"/>
      <c r="I65" s="460">
        <f t="shared" si="17"/>
        <v>260</v>
      </c>
      <c r="J65" s="464"/>
      <c r="K65" s="460">
        <f t="shared" si="18"/>
        <v>520</v>
      </c>
      <c r="L65" s="464"/>
      <c r="M65" s="461">
        <f t="shared" si="19"/>
        <v>2144298</v>
      </c>
      <c r="N65" s="464"/>
      <c r="O65" s="461">
        <f t="shared" si="20"/>
        <v>11970663.9</v>
      </c>
      <c r="P65" s="464"/>
    </row>
    <row r="66" spans="2:16" x14ac:dyDescent="0.25">
      <c r="B66" s="229">
        <f t="shared" si="14"/>
        <v>0.4</v>
      </c>
      <c r="C66" s="460">
        <f t="shared" si="14"/>
        <v>1260</v>
      </c>
      <c r="D66" s="466"/>
      <c r="E66" s="460">
        <f t="shared" si="15"/>
        <v>280</v>
      </c>
      <c r="F66" s="466"/>
      <c r="G66" s="460">
        <f t="shared" si="16"/>
        <v>420</v>
      </c>
      <c r="H66" s="466"/>
      <c r="I66" s="460">
        <f t="shared" si="17"/>
        <v>280</v>
      </c>
      <c r="J66" s="464"/>
      <c r="K66" s="460">
        <f t="shared" si="18"/>
        <v>560</v>
      </c>
      <c r="L66" s="464"/>
      <c r="M66" s="461">
        <f t="shared" si="19"/>
        <v>2309244</v>
      </c>
      <c r="N66" s="464"/>
      <c r="O66" s="461">
        <f t="shared" si="20"/>
        <v>12891484.199999999</v>
      </c>
      <c r="P66" s="464"/>
    </row>
    <row r="67" spans="2:16" ht="15.75" thickBot="1" x14ac:dyDescent="0.3">
      <c r="B67" s="230">
        <f t="shared" si="14"/>
        <v>0.5</v>
      </c>
      <c r="C67" s="462">
        <f t="shared" si="14"/>
        <v>1350</v>
      </c>
      <c r="D67" s="467"/>
      <c r="E67" s="462">
        <f t="shared" si="15"/>
        <v>300</v>
      </c>
      <c r="F67" s="479"/>
      <c r="G67" s="462">
        <f t="shared" si="16"/>
        <v>450</v>
      </c>
      <c r="H67" s="479"/>
      <c r="I67" s="462">
        <f t="shared" si="17"/>
        <v>300</v>
      </c>
      <c r="J67" s="465"/>
      <c r="K67" s="462">
        <f t="shared" si="18"/>
        <v>600</v>
      </c>
      <c r="L67" s="465"/>
      <c r="M67" s="463">
        <f t="shared" si="19"/>
        <v>2474190</v>
      </c>
      <c r="N67" s="465"/>
      <c r="O67" s="463">
        <f t="shared" si="20"/>
        <v>13812304.5</v>
      </c>
      <c r="P67" s="465"/>
    </row>
    <row r="100" s="61" customFormat="1" ht="15.75" thickBot="1" x14ac:dyDescent="0.3"/>
  </sheetData>
  <phoneticPr fontId="7" type="noConversion"/>
  <pageMargins left="0.7" right="0.7" top="0.75" bottom="0.75" header="0.3" footer="0.3"/>
  <pageSetup orientation="portrait" horizontalDpi="300" verticalDpi="36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06E16-905B-4D55-BD6B-48559C8E767E}">
  <dimension ref="A1:AX129"/>
  <sheetViews>
    <sheetView topLeftCell="X1" workbookViewId="0">
      <selection activeCell="AH42" sqref="AH42"/>
    </sheetView>
  </sheetViews>
  <sheetFormatPr baseColWidth="10" defaultRowHeight="15" x14ac:dyDescent="0.25"/>
  <cols>
    <col min="2" max="2" width="11.42578125" customWidth="1"/>
    <col min="4" max="4" width="12" customWidth="1"/>
    <col min="7" max="7" width="13.28515625" customWidth="1"/>
    <col min="10" max="10" width="10.42578125" bestFit="1" customWidth="1"/>
    <col min="14" max="14" width="11.42578125" customWidth="1"/>
    <col min="24" max="24" width="5.7109375" customWidth="1"/>
    <col min="25" max="25" width="2.7109375" customWidth="1"/>
    <col min="26" max="26" width="5.7109375" customWidth="1"/>
  </cols>
  <sheetData>
    <row r="1" spans="1:50" x14ac:dyDescent="0.25">
      <c r="Y1" s="95"/>
    </row>
    <row r="2" spans="1:50" x14ac:dyDescent="0.25">
      <c r="A2" s="501" t="s">
        <v>540</v>
      </c>
      <c r="B2" s="501"/>
      <c r="C2" s="501"/>
      <c r="D2" s="501"/>
      <c r="E2" s="501"/>
      <c r="F2" s="501"/>
      <c r="G2" s="501"/>
      <c r="H2" s="501"/>
      <c r="I2" s="501"/>
      <c r="J2" s="501"/>
      <c r="K2" s="501"/>
      <c r="L2" s="501"/>
      <c r="M2" s="501"/>
      <c r="N2" s="501"/>
      <c r="O2" s="501"/>
      <c r="P2" s="501"/>
      <c r="Q2" s="501"/>
      <c r="R2" s="501"/>
      <c r="S2" s="501"/>
      <c r="T2" s="501"/>
      <c r="U2" s="501"/>
      <c r="V2" s="501"/>
      <c r="W2" s="501"/>
      <c r="X2" s="501"/>
      <c r="Y2" s="95"/>
      <c r="AA2" s="501" t="s">
        <v>541</v>
      </c>
      <c r="AB2" s="501"/>
      <c r="AC2" s="501"/>
      <c r="AD2" s="501"/>
      <c r="AE2" s="501"/>
      <c r="AF2" s="501"/>
      <c r="AG2" s="501"/>
      <c r="AH2" s="501"/>
      <c r="AI2" s="501"/>
      <c r="AJ2" s="501"/>
      <c r="AK2" s="501"/>
      <c r="AL2" s="501"/>
      <c r="AM2" s="501"/>
      <c r="AN2" s="501"/>
      <c r="AO2" s="501"/>
      <c r="AP2" s="501"/>
      <c r="AQ2" s="501"/>
      <c r="AR2" s="501"/>
      <c r="AS2" s="501"/>
      <c r="AT2" s="501"/>
      <c r="AU2" s="501"/>
      <c r="AV2" s="501"/>
      <c r="AW2" s="501"/>
      <c r="AX2" s="501"/>
    </row>
    <row r="3" spans="1:50" x14ac:dyDescent="0.25">
      <c r="Y3" s="95"/>
    </row>
    <row r="4" spans="1:50" s="4" customFormat="1" x14ac:dyDescent="0.25">
      <c r="A4" s="56" t="s">
        <v>412</v>
      </c>
      <c r="B4" s="56"/>
      <c r="E4" s="5"/>
      <c r="F4"/>
      <c r="Y4" s="96"/>
      <c r="AA4" s="56" t="s">
        <v>412</v>
      </c>
      <c r="AB4" s="56"/>
      <c r="AE4" s="5"/>
      <c r="AF4"/>
    </row>
    <row r="5" spans="1:50" s="4" customFormat="1" ht="15.75" thickBot="1" x14ac:dyDescent="0.3">
      <c r="E5" s="5"/>
      <c r="F5"/>
      <c r="Y5" s="96"/>
      <c r="AE5" s="5"/>
      <c r="AF5"/>
    </row>
    <row r="6" spans="1:50" s="6" customFormat="1" ht="60.75" thickBot="1" x14ac:dyDescent="0.3">
      <c r="C6" s="51" t="s">
        <v>415</v>
      </c>
      <c r="D6" s="52" t="s">
        <v>551</v>
      </c>
      <c r="E6" s="52" t="s">
        <v>552</v>
      </c>
      <c r="F6" s="52" t="s">
        <v>553</v>
      </c>
      <c r="G6" s="52" t="s">
        <v>554</v>
      </c>
      <c r="H6" s="52" t="s">
        <v>555</v>
      </c>
      <c r="I6" s="52" t="s">
        <v>556</v>
      </c>
      <c r="J6" s="52" t="s">
        <v>557</v>
      </c>
      <c r="K6" s="52" t="s">
        <v>558</v>
      </c>
      <c r="L6" s="52" t="s">
        <v>559</v>
      </c>
      <c r="M6" s="52" t="s">
        <v>560</v>
      </c>
      <c r="N6" s="52" t="s">
        <v>561</v>
      </c>
      <c r="O6" s="52" t="s">
        <v>562</v>
      </c>
      <c r="P6" s="101" t="s">
        <v>563</v>
      </c>
      <c r="Y6" s="97"/>
      <c r="AC6" s="51" t="s">
        <v>415</v>
      </c>
      <c r="AD6" s="52" t="s">
        <v>551</v>
      </c>
      <c r="AE6" s="52" t="s">
        <v>552</v>
      </c>
      <c r="AF6" s="52" t="s">
        <v>553</v>
      </c>
      <c r="AG6" s="52" t="s">
        <v>554</v>
      </c>
      <c r="AH6" s="52" t="s">
        <v>555</v>
      </c>
      <c r="AI6" s="52" t="s">
        <v>556</v>
      </c>
      <c r="AJ6" s="398" t="s">
        <v>557</v>
      </c>
      <c r="AK6" s="52" t="s">
        <v>558</v>
      </c>
      <c r="AL6" s="52" t="s">
        <v>559</v>
      </c>
      <c r="AM6" s="52" t="s">
        <v>560</v>
      </c>
      <c r="AN6" s="52" t="s">
        <v>561</v>
      </c>
      <c r="AO6" s="52" t="s">
        <v>562</v>
      </c>
      <c r="AP6" s="101" t="s">
        <v>563</v>
      </c>
    </row>
    <row r="7" spans="1:50" s="4" customFormat="1" x14ac:dyDescent="0.25">
      <c r="C7" s="170">
        <v>0</v>
      </c>
      <c r="D7" s="171">
        <f>'MP EE Ins'!P16</f>
        <v>0</v>
      </c>
      <c r="E7" s="171">
        <f>'MP EE Ins'!P31-'MP EE Ins'!F31-'MP EE Ins'!I31-'MP EE Ins'!O31</f>
        <v>0</v>
      </c>
      <c r="F7" s="171">
        <v>0</v>
      </c>
      <c r="G7" s="171">
        <f>'MP EE Ins'!I31</f>
        <v>0</v>
      </c>
      <c r="H7" s="171">
        <f>'MP EE Ins'!Q56</f>
        <v>0</v>
      </c>
      <c r="I7" s="171">
        <f>'MP EE Ins'!F31</f>
        <v>0</v>
      </c>
      <c r="J7" s="171">
        <f>Amort!AC96</f>
        <v>0</v>
      </c>
      <c r="K7" s="171">
        <f>'MP EE Ins'!O31</f>
        <v>0</v>
      </c>
      <c r="L7" s="171">
        <v>0</v>
      </c>
      <c r="M7" s="171">
        <v>0</v>
      </c>
      <c r="N7" s="171">
        <v>0</v>
      </c>
      <c r="O7" s="171">
        <v>0</v>
      </c>
      <c r="P7" s="172">
        <f>SUM(D7:O7)</f>
        <v>0</v>
      </c>
      <c r="Y7" s="96"/>
      <c r="AC7" s="170">
        <v>0</v>
      </c>
      <c r="AD7" s="171">
        <f>D7</f>
        <v>0</v>
      </c>
      <c r="AE7" s="171">
        <f t="shared" ref="AE7:AO7" si="0">E7</f>
        <v>0</v>
      </c>
      <c r="AF7" s="171">
        <f t="shared" si="0"/>
        <v>0</v>
      </c>
      <c r="AG7" s="171">
        <f t="shared" si="0"/>
        <v>0</v>
      </c>
      <c r="AH7" s="171">
        <f t="shared" si="0"/>
        <v>0</v>
      </c>
      <c r="AI7" s="171">
        <f t="shared" si="0"/>
        <v>0</v>
      </c>
      <c r="AJ7" s="399">
        <f>Amort!AX107</f>
        <v>0</v>
      </c>
      <c r="AK7" s="171">
        <f t="shared" si="0"/>
        <v>0</v>
      </c>
      <c r="AL7" s="171">
        <f t="shared" si="0"/>
        <v>0</v>
      </c>
      <c r="AM7" s="171">
        <f t="shared" si="0"/>
        <v>0</v>
      </c>
      <c r="AN7" s="171">
        <f t="shared" si="0"/>
        <v>0</v>
      </c>
      <c r="AO7" s="171">
        <f t="shared" si="0"/>
        <v>0</v>
      </c>
      <c r="AP7" s="172">
        <f>SUM(AD7:AO7)</f>
        <v>0</v>
      </c>
    </row>
    <row r="8" spans="1:50" s="4" customFormat="1" x14ac:dyDescent="0.25">
      <c r="C8" s="173">
        <v>1</v>
      </c>
      <c r="D8" s="5">
        <f>'MP EE Ins'!P17</f>
        <v>1332101.9268125314</v>
      </c>
      <c r="E8" s="5">
        <f>'MP EE Ins'!P32-'MP EE Ins'!F32-'MP EE Ins'!I32-'MP EE Ins'!O32</f>
        <v>2496</v>
      </c>
      <c r="F8" s="5">
        <f>RRHH!$R$20</f>
        <v>1355789.25</v>
      </c>
      <c r="G8" s="5">
        <f>'MP EE Ins'!I32+'MP EE Ins'!$E$99</f>
        <v>136400</v>
      </c>
      <c r="H8" s="5">
        <f>'MP EE Ins'!Q57</f>
        <v>261317.40197499999</v>
      </c>
      <c r="I8" s="5">
        <f>'MP EE Ins'!F32</f>
        <v>65887.5</v>
      </c>
      <c r="J8" s="5">
        <f>Amort!AD96</f>
        <v>1755112.1269019074</v>
      </c>
      <c r="K8" s="5">
        <f>'MP EE Ins'!O32</f>
        <v>40000</v>
      </c>
      <c r="L8" s="5">
        <f>'MP EE Ins'!$E$75</f>
        <v>1000000</v>
      </c>
      <c r="M8" s="5">
        <f>'MP EE Ins'!$E$90</f>
        <v>170000</v>
      </c>
      <c r="N8" s="5">
        <f>'MP EE Ins'!$E$107</f>
        <v>120000</v>
      </c>
      <c r="O8" s="5">
        <f>'MP EE Ins'!$E$124</f>
        <v>20000</v>
      </c>
      <c r="P8" s="127">
        <f t="shared" ref="P8:P17" si="1">SUM(D8:O8)</f>
        <v>6259104.2056894386</v>
      </c>
      <c r="Y8" s="96"/>
      <c r="AC8" s="173">
        <v>1</v>
      </c>
      <c r="AD8" s="5">
        <f t="shared" ref="AD8:AD17" si="2">D8</f>
        <v>1332101.9268125314</v>
      </c>
      <c r="AE8" s="5">
        <f t="shared" ref="AE8:AE17" si="3">E8</f>
        <v>2496</v>
      </c>
      <c r="AF8" s="5">
        <f t="shared" ref="AF8:AF17" si="4">F8</f>
        <v>1355789.25</v>
      </c>
      <c r="AG8" s="5">
        <f t="shared" ref="AG8:AG17" si="5">G8</f>
        <v>136400</v>
      </c>
      <c r="AH8" s="5">
        <f t="shared" ref="AH8:AH17" si="6">H8</f>
        <v>261317.40197499999</v>
      </c>
      <c r="AI8" s="5">
        <f t="shared" ref="AI8:AI17" si="7">I8</f>
        <v>65887.5</v>
      </c>
      <c r="AJ8" s="400">
        <f>Amort!AX108</f>
        <v>1900874.2833019076</v>
      </c>
      <c r="AK8" s="5">
        <f t="shared" ref="AK8:AK17" si="8">K8</f>
        <v>40000</v>
      </c>
      <c r="AL8" s="5">
        <f t="shared" ref="AL8:AL17" si="9">L8</f>
        <v>1000000</v>
      </c>
      <c r="AM8" s="5">
        <f t="shared" ref="AM8:AM17" si="10">M8</f>
        <v>170000</v>
      </c>
      <c r="AN8" s="5">
        <f t="shared" ref="AN8:AN17" si="11">N8</f>
        <v>120000</v>
      </c>
      <c r="AO8" s="5">
        <f t="shared" ref="AO8:AO17" si="12">O8</f>
        <v>20000</v>
      </c>
      <c r="AP8" s="127">
        <f t="shared" ref="AP8:AP17" si="13">SUM(AD8:AO8)</f>
        <v>6404866.3620894384</v>
      </c>
    </row>
    <row r="9" spans="1:50" s="4" customFormat="1" x14ac:dyDescent="0.25">
      <c r="C9" s="173">
        <v>2</v>
      </c>
      <c r="D9" s="5">
        <f>'MP EE Ins'!P18</f>
        <v>1631297.1140043014</v>
      </c>
      <c r="E9" s="5">
        <f>'MP EE Ins'!P33-'MP EE Ins'!F33-'MP EE Ins'!I33-'MP EE Ins'!O33</f>
        <v>4992</v>
      </c>
      <c r="F9" s="5">
        <f>RRHH!$R$20</f>
        <v>1355789.25</v>
      </c>
      <c r="G9" s="5">
        <f>'MP EE Ins'!I33+'MP EE Ins'!$E$99</f>
        <v>184400</v>
      </c>
      <c r="H9" s="5">
        <f>'MP EE Ins'!Q58</f>
        <v>261317.40197499999</v>
      </c>
      <c r="I9" s="5">
        <f>'MP EE Ins'!F33</f>
        <v>65887.5</v>
      </c>
      <c r="J9" s="5">
        <f>Amort!AE96</f>
        <v>1764265.4895152408</v>
      </c>
      <c r="K9" s="5">
        <f>'MP EE Ins'!O33</f>
        <v>45000</v>
      </c>
      <c r="L9" s="5">
        <f>'MP EE Ins'!$E$75</f>
        <v>1000000</v>
      </c>
      <c r="M9" s="5">
        <f>'MP EE Ins'!$E$90</f>
        <v>170000</v>
      </c>
      <c r="N9" s="5">
        <f>'MP EE Ins'!$E$107</f>
        <v>120000</v>
      </c>
      <c r="O9" s="5">
        <f>'MP EE Ins'!$E$124</f>
        <v>20000</v>
      </c>
      <c r="P9" s="127">
        <f t="shared" si="1"/>
        <v>6622948.7554945424</v>
      </c>
      <c r="Y9" s="96"/>
      <c r="AC9" s="173">
        <v>2</v>
      </c>
      <c r="AD9" s="5">
        <f t="shared" si="2"/>
        <v>1631297.1140043014</v>
      </c>
      <c r="AE9" s="5">
        <f t="shared" si="3"/>
        <v>4992</v>
      </c>
      <c r="AF9" s="5">
        <f t="shared" si="4"/>
        <v>1355789.25</v>
      </c>
      <c r="AG9" s="5">
        <f t="shared" si="5"/>
        <v>184400</v>
      </c>
      <c r="AH9" s="5">
        <f t="shared" si="6"/>
        <v>261317.40197499999</v>
      </c>
      <c r="AI9" s="5">
        <f t="shared" si="7"/>
        <v>65887.5</v>
      </c>
      <c r="AJ9" s="400">
        <f>Amort!AX109</f>
        <v>1910027.645915241</v>
      </c>
      <c r="AK9" s="5">
        <f t="shared" si="8"/>
        <v>45000</v>
      </c>
      <c r="AL9" s="5">
        <f t="shared" si="9"/>
        <v>1000000</v>
      </c>
      <c r="AM9" s="5">
        <f t="shared" si="10"/>
        <v>170000</v>
      </c>
      <c r="AN9" s="5">
        <f t="shared" si="11"/>
        <v>120000</v>
      </c>
      <c r="AO9" s="5">
        <f t="shared" si="12"/>
        <v>20000</v>
      </c>
      <c r="AP9" s="127">
        <f t="shared" si="13"/>
        <v>6768710.9118945422</v>
      </c>
    </row>
    <row r="10" spans="1:50" s="4" customFormat="1" x14ac:dyDescent="0.25">
      <c r="C10" s="173">
        <v>3</v>
      </c>
      <c r="D10" s="5">
        <f>'MP EE Ins'!P19</f>
        <v>1930492.3011960713</v>
      </c>
      <c r="E10" s="5">
        <f>'MP EE Ins'!P34-'MP EE Ins'!F34-'MP EE Ins'!I34-'MP EE Ins'!O34</f>
        <v>4992</v>
      </c>
      <c r="F10" s="5">
        <f>RRHH!$R$20</f>
        <v>1355789.25</v>
      </c>
      <c r="G10" s="5">
        <f>'MP EE Ins'!I34+'MP EE Ins'!$E$99</f>
        <v>184400</v>
      </c>
      <c r="H10" s="5">
        <f>'MP EE Ins'!Q59</f>
        <v>261317.40197499999</v>
      </c>
      <c r="I10" s="5">
        <f>'MP EE Ins'!F34</f>
        <v>65887.5</v>
      </c>
      <c r="J10" s="5">
        <f>Amort!AF96</f>
        <v>1764265.4895152408</v>
      </c>
      <c r="K10" s="5">
        <f>'MP EE Ins'!O34</f>
        <v>50000</v>
      </c>
      <c r="L10" s="5">
        <f>'MP EE Ins'!$E$75</f>
        <v>1000000</v>
      </c>
      <c r="M10" s="5">
        <f>'MP EE Ins'!$E$90</f>
        <v>170000</v>
      </c>
      <c r="N10" s="5">
        <f>'MP EE Ins'!$E$107</f>
        <v>120000</v>
      </c>
      <c r="O10" s="5">
        <f>'MP EE Ins'!$E$124</f>
        <v>20000</v>
      </c>
      <c r="P10" s="127">
        <f t="shared" si="1"/>
        <v>6927143.9426863119</v>
      </c>
      <c r="Y10" s="96"/>
      <c r="AC10" s="173">
        <v>3</v>
      </c>
      <c r="AD10" s="5">
        <f t="shared" si="2"/>
        <v>1930492.3011960713</v>
      </c>
      <c r="AE10" s="5">
        <f t="shared" si="3"/>
        <v>4992</v>
      </c>
      <c r="AF10" s="5">
        <f t="shared" si="4"/>
        <v>1355789.25</v>
      </c>
      <c r="AG10" s="5">
        <f t="shared" si="5"/>
        <v>184400</v>
      </c>
      <c r="AH10" s="5">
        <f t="shared" si="6"/>
        <v>261317.40197499999</v>
      </c>
      <c r="AI10" s="5">
        <f t="shared" si="7"/>
        <v>65887.5</v>
      </c>
      <c r="AJ10" s="400">
        <f>Amort!AX110</f>
        <v>1910027.645915241</v>
      </c>
      <c r="AK10" s="5">
        <f t="shared" si="8"/>
        <v>50000</v>
      </c>
      <c r="AL10" s="5">
        <f t="shared" si="9"/>
        <v>1000000</v>
      </c>
      <c r="AM10" s="5">
        <f t="shared" si="10"/>
        <v>170000</v>
      </c>
      <c r="AN10" s="5">
        <f t="shared" si="11"/>
        <v>120000</v>
      </c>
      <c r="AO10" s="5">
        <f t="shared" si="12"/>
        <v>20000</v>
      </c>
      <c r="AP10" s="127">
        <f t="shared" si="13"/>
        <v>7072906.0990863126</v>
      </c>
    </row>
    <row r="11" spans="1:50" s="4" customFormat="1" x14ac:dyDescent="0.25">
      <c r="C11" s="173">
        <v>4</v>
      </c>
      <c r="D11" s="5">
        <f>'MP EE Ins'!P20</f>
        <v>2229687.4883878417</v>
      </c>
      <c r="E11" s="5">
        <f>'MP EE Ins'!P35-'MP EE Ins'!F35-'MP EE Ins'!I35-'MP EE Ins'!O35</f>
        <v>4992</v>
      </c>
      <c r="F11" s="5">
        <f>RRHH!$R$20</f>
        <v>1355789.25</v>
      </c>
      <c r="G11" s="5">
        <f>'MP EE Ins'!I35+'MP EE Ins'!$E$99</f>
        <v>184400</v>
      </c>
      <c r="H11" s="5">
        <f>'MP EE Ins'!Q60</f>
        <v>321798.83597499999</v>
      </c>
      <c r="I11" s="5">
        <f>'MP EE Ins'!F35</f>
        <v>95722.5</v>
      </c>
      <c r="J11" s="5">
        <f>Amort!AG96</f>
        <v>1786824.4495152407</v>
      </c>
      <c r="K11" s="5">
        <f>'MP EE Ins'!O35</f>
        <v>55000</v>
      </c>
      <c r="L11" s="5">
        <f>'MP EE Ins'!$E$75</f>
        <v>1000000</v>
      </c>
      <c r="M11" s="5">
        <f>'MP EE Ins'!$E$90</f>
        <v>170000</v>
      </c>
      <c r="N11" s="5">
        <f>'MP EE Ins'!$E$107</f>
        <v>120000</v>
      </c>
      <c r="O11" s="5">
        <f>'MP EE Ins'!$E$124</f>
        <v>20000</v>
      </c>
      <c r="P11" s="127">
        <f t="shared" si="1"/>
        <v>7344214.5238780826</v>
      </c>
      <c r="Y11" s="96"/>
      <c r="AC11" s="173">
        <v>4</v>
      </c>
      <c r="AD11" s="5">
        <f t="shared" si="2"/>
        <v>2229687.4883878417</v>
      </c>
      <c r="AE11" s="5">
        <f t="shared" si="3"/>
        <v>4992</v>
      </c>
      <c r="AF11" s="5">
        <f t="shared" si="4"/>
        <v>1355789.25</v>
      </c>
      <c r="AG11" s="5">
        <f t="shared" si="5"/>
        <v>184400</v>
      </c>
      <c r="AH11" s="5">
        <f t="shared" si="6"/>
        <v>321798.83597499999</v>
      </c>
      <c r="AI11" s="5">
        <f t="shared" si="7"/>
        <v>95722.5</v>
      </c>
      <c r="AJ11" s="400">
        <f>Amort!AX111</f>
        <v>1932586.6059152409</v>
      </c>
      <c r="AK11" s="5">
        <f t="shared" si="8"/>
        <v>55000</v>
      </c>
      <c r="AL11" s="5">
        <f t="shared" si="9"/>
        <v>1000000</v>
      </c>
      <c r="AM11" s="5">
        <f t="shared" si="10"/>
        <v>170000</v>
      </c>
      <c r="AN11" s="5">
        <f t="shared" si="11"/>
        <v>120000</v>
      </c>
      <c r="AO11" s="5">
        <f t="shared" si="12"/>
        <v>20000</v>
      </c>
      <c r="AP11" s="127">
        <f t="shared" si="13"/>
        <v>7489976.6802780833</v>
      </c>
    </row>
    <row r="12" spans="1:50" s="4" customFormat="1" x14ac:dyDescent="0.25">
      <c r="C12" s="173">
        <v>5</v>
      </c>
      <c r="D12" s="5">
        <f>'MP EE Ins'!P21</f>
        <v>2528882.6755796112</v>
      </c>
      <c r="E12" s="5">
        <f>'MP EE Ins'!P36-'MP EE Ins'!F36-'MP EE Ins'!I36-'MP EE Ins'!O36</f>
        <v>4992</v>
      </c>
      <c r="F12" s="5">
        <f>RRHH!$R$20</f>
        <v>1355789.25</v>
      </c>
      <c r="G12" s="5">
        <f>'MP EE Ins'!I36+'MP EE Ins'!$E$99</f>
        <v>184400</v>
      </c>
      <c r="H12" s="5">
        <f>'MP EE Ins'!Q61</f>
        <v>321798.83597499999</v>
      </c>
      <c r="I12" s="5">
        <f>'MP EE Ins'!F36</f>
        <v>95722.5</v>
      </c>
      <c r="J12" s="5">
        <f>Amort!AH96</f>
        <v>1802586.3454704816</v>
      </c>
      <c r="K12" s="5">
        <f>'MP EE Ins'!O36</f>
        <v>55000</v>
      </c>
      <c r="L12" s="5">
        <f>'MP EE Ins'!$E$75</f>
        <v>1000000</v>
      </c>
      <c r="M12" s="5">
        <f>'MP EE Ins'!$E$90</f>
        <v>170000</v>
      </c>
      <c r="N12" s="5">
        <f>'MP EE Ins'!$E$107</f>
        <v>120000</v>
      </c>
      <c r="O12" s="5">
        <f>'MP EE Ins'!$E$124</f>
        <v>20000</v>
      </c>
      <c r="P12" s="127">
        <f t="shared" si="1"/>
        <v>7659171.6070250925</v>
      </c>
      <c r="Y12" s="96"/>
      <c r="AC12" s="173">
        <v>5</v>
      </c>
      <c r="AD12" s="5">
        <f t="shared" si="2"/>
        <v>2528882.6755796112</v>
      </c>
      <c r="AE12" s="5">
        <f t="shared" si="3"/>
        <v>4992</v>
      </c>
      <c r="AF12" s="5">
        <f t="shared" si="4"/>
        <v>1355789.25</v>
      </c>
      <c r="AG12" s="5">
        <f t="shared" si="5"/>
        <v>184400</v>
      </c>
      <c r="AH12" s="5">
        <f t="shared" si="6"/>
        <v>321798.83597499999</v>
      </c>
      <c r="AI12" s="5">
        <f t="shared" si="7"/>
        <v>95722.5</v>
      </c>
      <c r="AJ12" s="400">
        <f>Amort!AX112</f>
        <v>1948348.5018704818</v>
      </c>
      <c r="AK12" s="5">
        <f t="shared" si="8"/>
        <v>55000</v>
      </c>
      <c r="AL12" s="5">
        <f t="shared" si="9"/>
        <v>1000000</v>
      </c>
      <c r="AM12" s="5">
        <f t="shared" si="10"/>
        <v>170000</v>
      </c>
      <c r="AN12" s="5">
        <f t="shared" si="11"/>
        <v>120000</v>
      </c>
      <c r="AO12" s="5">
        <f t="shared" si="12"/>
        <v>20000</v>
      </c>
      <c r="AP12" s="127">
        <f t="shared" si="13"/>
        <v>7804933.7634250931</v>
      </c>
    </row>
    <row r="13" spans="1:50" s="4" customFormat="1" x14ac:dyDescent="0.25">
      <c r="C13" s="173">
        <v>6</v>
      </c>
      <c r="D13" s="5">
        <f>'MP EE Ins'!P22</f>
        <v>2828077.8627713816</v>
      </c>
      <c r="E13" s="5">
        <f>'MP EE Ins'!P37-'MP EE Ins'!F37-'MP EE Ins'!I37-'MP EE Ins'!O37</f>
        <v>4992</v>
      </c>
      <c r="F13" s="5">
        <f>RRHH!$R$20</f>
        <v>1355789.25</v>
      </c>
      <c r="G13" s="5">
        <f>'MP EE Ins'!I37+'MP EE Ins'!$E$99</f>
        <v>184400</v>
      </c>
      <c r="H13" s="5">
        <f>'MP EE Ins'!Q62</f>
        <v>321798.83597499999</v>
      </c>
      <c r="I13" s="5">
        <f>'MP EE Ins'!F37</f>
        <v>95722.5</v>
      </c>
      <c r="J13" s="5">
        <f>Amort!AI96</f>
        <v>673244.67880381492</v>
      </c>
      <c r="K13" s="5">
        <f>'MP EE Ins'!O37</f>
        <v>55000</v>
      </c>
      <c r="L13" s="5">
        <f>'MP EE Ins'!$E$75</f>
        <v>1000000</v>
      </c>
      <c r="M13" s="5">
        <f>'MP EE Ins'!$E$90</f>
        <v>170000</v>
      </c>
      <c r="N13" s="5">
        <f>'MP EE Ins'!$E$107</f>
        <v>120000</v>
      </c>
      <c r="O13" s="5">
        <f>'MP EE Ins'!$E$124</f>
        <v>20000</v>
      </c>
      <c r="P13" s="127">
        <f t="shared" si="1"/>
        <v>6829025.1275501959</v>
      </c>
      <c r="Y13" s="96"/>
      <c r="AC13" s="173">
        <v>6</v>
      </c>
      <c r="AD13" s="5">
        <f t="shared" si="2"/>
        <v>2828077.8627713816</v>
      </c>
      <c r="AE13" s="5">
        <f t="shared" si="3"/>
        <v>4992</v>
      </c>
      <c r="AF13" s="5">
        <f t="shared" si="4"/>
        <v>1355789.25</v>
      </c>
      <c r="AG13" s="5">
        <f t="shared" si="5"/>
        <v>184400</v>
      </c>
      <c r="AH13" s="5">
        <f t="shared" si="6"/>
        <v>321798.83597499999</v>
      </c>
      <c r="AI13" s="5">
        <f t="shared" si="7"/>
        <v>95722.5</v>
      </c>
      <c r="AJ13" s="400">
        <f>Amort!AX113</f>
        <v>673244.67880381492</v>
      </c>
      <c r="AK13" s="5">
        <f t="shared" si="8"/>
        <v>55000</v>
      </c>
      <c r="AL13" s="5">
        <f t="shared" si="9"/>
        <v>1000000</v>
      </c>
      <c r="AM13" s="5">
        <f t="shared" si="10"/>
        <v>170000</v>
      </c>
      <c r="AN13" s="5">
        <f t="shared" si="11"/>
        <v>120000</v>
      </c>
      <c r="AO13" s="5">
        <f t="shared" si="12"/>
        <v>20000</v>
      </c>
      <c r="AP13" s="127">
        <f t="shared" si="13"/>
        <v>6829025.1275501959</v>
      </c>
    </row>
    <row r="14" spans="1:50" s="4" customFormat="1" x14ac:dyDescent="0.25">
      <c r="C14" s="173">
        <v>7</v>
      </c>
      <c r="D14" s="5">
        <f>'MP EE Ins'!P23</f>
        <v>3127273.0499631511</v>
      </c>
      <c r="E14" s="5">
        <f>'MP EE Ins'!P38-'MP EE Ins'!F38-'MP EE Ins'!I38-'MP EE Ins'!O38</f>
        <v>7512</v>
      </c>
      <c r="F14" s="5">
        <f>RRHH!$R$20</f>
        <v>1355789.25</v>
      </c>
      <c r="G14" s="5">
        <f>'MP EE Ins'!I38+'MP EE Ins'!$E$99</f>
        <v>230800</v>
      </c>
      <c r="H14" s="5">
        <f>'MP EE Ins'!Q63</f>
        <v>355276.90977500007</v>
      </c>
      <c r="I14" s="5">
        <f>'MP EE Ins'!F38</f>
        <v>108007.5</v>
      </c>
      <c r="J14" s="5">
        <f>Amort!AJ96</f>
        <v>682398.0414171482</v>
      </c>
      <c r="K14" s="5">
        <f>'MP EE Ins'!O38</f>
        <v>55000</v>
      </c>
      <c r="L14" s="5">
        <f>'MP EE Ins'!$E$75</f>
        <v>1000000</v>
      </c>
      <c r="M14" s="5">
        <f>'MP EE Ins'!$E$90</f>
        <v>170000</v>
      </c>
      <c r="N14" s="5">
        <f>'MP EE Ins'!$E$107</f>
        <v>120000</v>
      </c>
      <c r="O14" s="5">
        <f>'MP EE Ins'!$E$124</f>
        <v>20000</v>
      </c>
      <c r="P14" s="127">
        <f t="shared" si="1"/>
        <v>7232056.7511552991</v>
      </c>
      <c r="Y14" s="96"/>
      <c r="AC14" s="173">
        <v>7</v>
      </c>
      <c r="AD14" s="5">
        <f t="shared" si="2"/>
        <v>3127273.0499631511</v>
      </c>
      <c r="AE14" s="5">
        <f t="shared" si="3"/>
        <v>7512</v>
      </c>
      <c r="AF14" s="5">
        <f t="shared" si="4"/>
        <v>1355789.25</v>
      </c>
      <c r="AG14" s="5">
        <f t="shared" si="5"/>
        <v>230800</v>
      </c>
      <c r="AH14" s="5">
        <f t="shared" si="6"/>
        <v>355276.90977500007</v>
      </c>
      <c r="AI14" s="5">
        <f t="shared" si="7"/>
        <v>108007.5</v>
      </c>
      <c r="AJ14" s="400">
        <f>Amort!AX114</f>
        <v>682398.0414171482</v>
      </c>
      <c r="AK14" s="5">
        <f t="shared" si="8"/>
        <v>55000</v>
      </c>
      <c r="AL14" s="5">
        <f t="shared" si="9"/>
        <v>1000000</v>
      </c>
      <c r="AM14" s="5">
        <f t="shared" si="10"/>
        <v>170000</v>
      </c>
      <c r="AN14" s="5">
        <f t="shared" si="11"/>
        <v>120000</v>
      </c>
      <c r="AO14" s="5">
        <f t="shared" si="12"/>
        <v>20000</v>
      </c>
      <c r="AP14" s="127">
        <f t="shared" si="13"/>
        <v>7232056.7511552991</v>
      </c>
    </row>
    <row r="15" spans="1:50" s="4" customFormat="1" x14ac:dyDescent="0.25">
      <c r="C15" s="173">
        <v>8</v>
      </c>
      <c r="D15" s="5">
        <f>'MP EE Ins'!P24</f>
        <v>3426468.2371549215</v>
      </c>
      <c r="E15" s="5">
        <f>'MP EE Ins'!P39-'MP EE Ins'!F39-'MP EE Ins'!I39-'MP EE Ins'!O39</f>
        <v>7512</v>
      </c>
      <c r="F15" s="5">
        <f>RRHH!$R$20</f>
        <v>1355789.25</v>
      </c>
      <c r="G15" s="5">
        <f>'MP EE Ins'!I39+'MP EE Ins'!$E$99</f>
        <v>230800</v>
      </c>
      <c r="H15" s="5">
        <f>'MP EE Ins'!Q64</f>
        <v>355276.90977500007</v>
      </c>
      <c r="I15" s="5">
        <f>'MP EE Ins'!F39</f>
        <v>108007.5</v>
      </c>
      <c r="J15" s="5">
        <f>Amort!AK96</f>
        <v>682398.0414171482</v>
      </c>
      <c r="K15" s="5">
        <f>'MP EE Ins'!O39</f>
        <v>55000</v>
      </c>
      <c r="L15" s="5">
        <f>'MP EE Ins'!$E$75</f>
        <v>1000000</v>
      </c>
      <c r="M15" s="5">
        <f>'MP EE Ins'!$E$90</f>
        <v>170000</v>
      </c>
      <c r="N15" s="5">
        <f>'MP EE Ins'!$E$107</f>
        <v>120000</v>
      </c>
      <c r="O15" s="5">
        <f>'MP EE Ins'!$E$124</f>
        <v>20000</v>
      </c>
      <c r="P15" s="127">
        <f t="shared" si="1"/>
        <v>7531251.9383470695</v>
      </c>
      <c r="Y15" s="96"/>
      <c r="AC15" s="173">
        <v>8</v>
      </c>
      <c r="AD15" s="5">
        <f t="shared" si="2"/>
        <v>3426468.2371549215</v>
      </c>
      <c r="AE15" s="5">
        <f t="shared" si="3"/>
        <v>7512</v>
      </c>
      <c r="AF15" s="5">
        <f t="shared" si="4"/>
        <v>1355789.25</v>
      </c>
      <c r="AG15" s="5">
        <f t="shared" si="5"/>
        <v>230800</v>
      </c>
      <c r="AH15" s="5">
        <f t="shared" si="6"/>
        <v>355276.90977500007</v>
      </c>
      <c r="AI15" s="5">
        <f t="shared" si="7"/>
        <v>108007.5</v>
      </c>
      <c r="AJ15" s="400">
        <f>Amort!AX115</f>
        <v>682398.0414171482</v>
      </c>
      <c r="AK15" s="5">
        <f t="shared" si="8"/>
        <v>55000</v>
      </c>
      <c r="AL15" s="5">
        <f t="shared" si="9"/>
        <v>1000000</v>
      </c>
      <c r="AM15" s="5">
        <f t="shared" si="10"/>
        <v>170000</v>
      </c>
      <c r="AN15" s="5">
        <f t="shared" si="11"/>
        <v>120000</v>
      </c>
      <c r="AO15" s="5">
        <f t="shared" si="12"/>
        <v>20000</v>
      </c>
      <c r="AP15" s="127">
        <f t="shared" si="13"/>
        <v>7531251.9383470695</v>
      </c>
    </row>
    <row r="16" spans="1:50" s="4" customFormat="1" x14ac:dyDescent="0.25">
      <c r="C16" s="173">
        <v>9</v>
      </c>
      <c r="D16" s="5">
        <f>'MP EE Ins'!P25</f>
        <v>3725663.424346691</v>
      </c>
      <c r="E16" s="5">
        <f>'MP EE Ins'!P40-'MP EE Ins'!F40-'MP EE Ins'!I40-'MP EE Ins'!O40</f>
        <v>7512</v>
      </c>
      <c r="F16" s="5">
        <f>RRHH!$R$20</f>
        <v>1355789.25</v>
      </c>
      <c r="G16" s="5">
        <f>'MP EE Ins'!I40+'MP EE Ins'!$E$99</f>
        <v>230800</v>
      </c>
      <c r="H16" s="5">
        <f>'MP EE Ins'!Q65</f>
        <v>355276.90977500007</v>
      </c>
      <c r="I16" s="5">
        <f>'MP EE Ins'!F40</f>
        <v>108007.5</v>
      </c>
      <c r="J16" s="5">
        <f>Amort!AL96</f>
        <v>682398.0414171482</v>
      </c>
      <c r="K16" s="5">
        <f>'MP EE Ins'!O40</f>
        <v>55000</v>
      </c>
      <c r="L16" s="5">
        <f>'MP EE Ins'!$E$75</f>
        <v>1000000</v>
      </c>
      <c r="M16" s="5">
        <f>'MP EE Ins'!$E$90</f>
        <v>170000</v>
      </c>
      <c r="N16" s="5">
        <f>'MP EE Ins'!$E$107</f>
        <v>120000</v>
      </c>
      <c r="O16" s="5">
        <f>'MP EE Ins'!$E$124</f>
        <v>20000</v>
      </c>
      <c r="P16" s="127">
        <f t="shared" si="1"/>
        <v>7830447.125538839</v>
      </c>
      <c r="Y16" s="96"/>
      <c r="AC16" s="173">
        <v>9</v>
      </c>
      <c r="AD16" s="5">
        <f t="shared" si="2"/>
        <v>3725663.424346691</v>
      </c>
      <c r="AE16" s="5">
        <f t="shared" si="3"/>
        <v>7512</v>
      </c>
      <c r="AF16" s="5">
        <f t="shared" si="4"/>
        <v>1355789.25</v>
      </c>
      <c r="AG16" s="5">
        <f t="shared" si="5"/>
        <v>230800</v>
      </c>
      <c r="AH16" s="5">
        <f t="shared" si="6"/>
        <v>355276.90977500007</v>
      </c>
      <c r="AI16" s="5">
        <f t="shared" si="7"/>
        <v>108007.5</v>
      </c>
      <c r="AJ16" s="400">
        <f>Amort!AX116</f>
        <v>682398.0414171482</v>
      </c>
      <c r="AK16" s="5">
        <f t="shared" si="8"/>
        <v>55000</v>
      </c>
      <c r="AL16" s="5">
        <f t="shared" si="9"/>
        <v>1000000</v>
      </c>
      <c r="AM16" s="5">
        <f t="shared" si="10"/>
        <v>170000</v>
      </c>
      <c r="AN16" s="5">
        <f t="shared" si="11"/>
        <v>120000</v>
      </c>
      <c r="AO16" s="5">
        <f t="shared" si="12"/>
        <v>20000</v>
      </c>
      <c r="AP16" s="127">
        <f t="shared" si="13"/>
        <v>7830447.125538839</v>
      </c>
    </row>
    <row r="17" spans="1:42" s="4" customFormat="1" ht="15.75" thickBot="1" x14ac:dyDescent="0.3">
      <c r="C17" s="174">
        <v>10</v>
      </c>
      <c r="D17" s="62">
        <f>'MP EE Ins'!P26</f>
        <v>4024858.6115384623</v>
      </c>
      <c r="E17" s="62">
        <f>'MP EE Ins'!P41-'MP EE Ins'!F41-'MP EE Ins'!I41-'MP EE Ins'!O41</f>
        <v>7512</v>
      </c>
      <c r="F17" s="62">
        <f>RRHH!$R$20</f>
        <v>1355789.25</v>
      </c>
      <c r="G17" s="5">
        <f>'MP EE Ins'!I41+'MP EE Ins'!$E$99</f>
        <v>230800</v>
      </c>
      <c r="H17" s="62">
        <f>'MP EE Ins'!Q66</f>
        <v>355276.90977500007</v>
      </c>
      <c r="I17" s="62">
        <f>'MP EE Ins'!F41</f>
        <v>108007.5</v>
      </c>
      <c r="J17" s="62">
        <f>Amort!AM96</f>
        <v>682398.0414171482</v>
      </c>
      <c r="K17" s="62">
        <f>'MP EE Ins'!O41</f>
        <v>55000</v>
      </c>
      <c r="L17" s="5">
        <f>'MP EE Ins'!$E$75</f>
        <v>1000000</v>
      </c>
      <c r="M17" s="5">
        <f>'MP EE Ins'!$E$90</f>
        <v>170000</v>
      </c>
      <c r="N17" s="62">
        <f>'MP EE Ins'!$E$107</f>
        <v>120000</v>
      </c>
      <c r="O17" s="5">
        <f>'MP EE Ins'!$E$124</f>
        <v>20000</v>
      </c>
      <c r="P17" s="130">
        <f t="shared" si="1"/>
        <v>8129642.3127306104</v>
      </c>
      <c r="Y17" s="96"/>
      <c r="AC17" s="174">
        <v>10</v>
      </c>
      <c r="AD17" s="62">
        <f t="shared" si="2"/>
        <v>4024858.6115384623</v>
      </c>
      <c r="AE17" s="62">
        <f t="shared" si="3"/>
        <v>7512</v>
      </c>
      <c r="AF17" s="62">
        <f t="shared" si="4"/>
        <v>1355789.25</v>
      </c>
      <c r="AG17" s="62">
        <f t="shared" si="5"/>
        <v>230800</v>
      </c>
      <c r="AH17" s="62">
        <f t="shared" si="6"/>
        <v>355276.90977500007</v>
      </c>
      <c r="AI17" s="62">
        <f t="shared" si="7"/>
        <v>108007.5</v>
      </c>
      <c r="AJ17" s="401">
        <f>Amort!AX117</f>
        <v>682398.0414171482</v>
      </c>
      <c r="AK17" s="62">
        <f t="shared" si="8"/>
        <v>55000</v>
      </c>
      <c r="AL17" s="62">
        <f t="shared" si="9"/>
        <v>1000000</v>
      </c>
      <c r="AM17" s="62">
        <f t="shared" si="10"/>
        <v>170000</v>
      </c>
      <c r="AN17" s="62">
        <f t="shared" si="11"/>
        <v>120000</v>
      </c>
      <c r="AO17" s="62">
        <f t="shared" si="12"/>
        <v>20000</v>
      </c>
      <c r="AP17" s="130">
        <f t="shared" si="13"/>
        <v>8129642.3127306104</v>
      </c>
    </row>
    <row r="18" spans="1:42" s="4" customFormat="1" ht="15.75" thickBot="1" x14ac:dyDescent="0.3">
      <c r="C18" s="157" t="s">
        <v>169</v>
      </c>
      <c r="D18" s="60">
        <f t="shared" ref="D18:P18" si="14">SUM(D7:D17)</f>
        <v>26784802.691754967</v>
      </c>
      <c r="E18" s="60">
        <f t="shared" si="14"/>
        <v>57504</v>
      </c>
      <c r="F18" s="60">
        <f t="shared" si="14"/>
        <v>13557892.5</v>
      </c>
      <c r="G18" s="60">
        <f t="shared" si="14"/>
        <v>1981600</v>
      </c>
      <c r="H18" s="60">
        <f t="shared" si="14"/>
        <v>3170456.3529500002</v>
      </c>
      <c r="I18" s="60">
        <f t="shared" si="14"/>
        <v>916860</v>
      </c>
      <c r="J18" s="60">
        <f t="shared" si="14"/>
        <v>12275890.745390518</v>
      </c>
      <c r="K18" s="60">
        <f t="shared" si="14"/>
        <v>520000</v>
      </c>
      <c r="L18" s="60">
        <f t="shared" si="14"/>
        <v>10000000</v>
      </c>
      <c r="M18" s="60">
        <f t="shared" si="14"/>
        <v>1700000</v>
      </c>
      <c r="N18" s="60">
        <f t="shared" si="14"/>
        <v>1200000</v>
      </c>
      <c r="O18" s="60">
        <f t="shared" si="14"/>
        <v>200000</v>
      </c>
      <c r="P18" s="114">
        <f t="shared" si="14"/>
        <v>72365006.290095493</v>
      </c>
      <c r="Y18" s="96"/>
      <c r="AC18" s="157" t="s">
        <v>169</v>
      </c>
      <c r="AD18" s="60">
        <f t="shared" ref="AD18" si="15">SUM(AD7:AD17)</f>
        <v>26784802.691754967</v>
      </c>
      <c r="AE18" s="60">
        <f t="shared" ref="AE18" si="16">SUM(AE7:AE17)</f>
        <v>57504</v>
      </c>
      <c r="AF18" s="60">
        <f t="shared" ref="AF18" si="17">SUM(AF7:AF17)</f>
        <v>13557892.5</v>
      </c>
      <c r="AG18" s="60">
        <f t="shared" ref="AG18" si="18">SUM(AG7:AG17)</f>
        <v>1981600</v>
      </c>
      <c r="AH18" s="60">
        <f t="shared" ref="AH18" si="19">SUM(AH7:AH17)</f>
        <v>3170456.3529500002</v>
      </c>
      <c r="AI18" s="60">
        <f t="shared" ref="AI18" si="20">SUM(AI7:AI17)</f>
        <v>916860</v>
      </c>
      <c r="AJ18" s="402">
        <f t="shared" ref="AJ18" si="21">SUM(AJ7:AJ17)</f>
        <v>13004701.527390519</v>
      </c>
      <c r="AK18" s="60">
        <f t="shared" ref="AK18" si="22">SUM(AK7:AK17)</f>
        <v>520000</v>
      </c>
      <c r="AL18" s="60">
        <f t="shared" ref="AL18" si="23">SUM(AL7:AL17)</f>
        <v>10000000</v>
      </c>
      <c r="AM18" s="60">
        <f t="shared" ref="AM18" si="24">SUM(AM7:AM17)</f>
        <v>1700000</v>
      </c>
      <c r="AN18" s="60">
        <f t="shared" ref="AN18" si="25">SUM(AN7:AN17)</f>
        <v>1200000</v>
      </c>
      <c r="AO18" s="60">
        <f t="shared" ref="AO18" si="26">SUM(AO7:AO17)</f>
        <v>200000</v>
      </c>
      <c r="AP18" s="114">
        <f t="shared" ref="AP18" si="27">SUM(AP7:AP17)</f>
        <v>73093817.072095498</v>
      </c>
    </row>
    <row r="19" spans="1:42" s="64" customFormat="1" ht="15.75" thickBot="1" x14ac:dyDescent="0.3">
      <c r="B19" s="61"/>
      <c r="C19" s="61"/>
      <c r="D19" s="61"/>
      <c r="E19" s="61"/>
      <c r="F19" s="61"/>
      <c r="Y19" s="98"/>
      <c r="AB19" s="61"/>
      <c r="AC19" s="61"/>
      <c r="AD19" s="61"/>
      <c r="AE19" s="61"/>
      <c r="AF19" s="61"/>
    </row>
    <row r="20" spans="1:42" x14ac:dyDescent="0.25">
      <c r="Y20" s="95"/>
    </row>
    <row r="21" spans="1:42" x14ac:dyDescent="0.25">
      <c r="A21" s="56" t="s">
        <v>417</v>
      </c>
      <c r="B21" s="56"/>
      <c r="C21" s="56"/>
      <c r="D21" s="56"/>
      <c r="E21" s="5"/>
      <c r="G21" s="4"/>
      <c r="H21" s="4"/>
      <c r="I21" s="4"/>
      <c r="J21" s="4"/>
      <c r="K21" s="4"/>
      <c r="L21" s="4"/>
      <c r="M21" s="4"/>
      <c r="N21" s="4"/>
      <c r="Y21" s="95"/>
      <c r="AA21" s="56" t="s">
        <v>417</v>
      </c>
      <c r="AB21" s="56"/>
      <c r="AC21" s="56"/>
      <c r="AD21" s="56"/>
      <c r="AE21" s="5"/>
      <c r="AG21" s="4"/>
      <c r="AH21" s="4"/>
      <c r="AI21" s="4"/>
      <c r="AJ21" s="4"/>
      <c r="AK21" s="4"/>
      <c r="AL21" s="4"/>
      <c r="AM21" s="4"/>
      <c r="AN21" s="4"/>
    </row>
    <row r="22" spans="1:42" ht="15.75" thickBot="1" x14ac:dyDescent="0.3">
      <c r="A22" s="4"/>
      <c r="B22" s="4"/>
      <c r="C22" s="4"/>
      <c r="D22" s="4"/>
      <c r="E22" s="5"/>
      <c r="G22" s="4"/>
      <c r="H22" s="4"/>
      <c r="I22" s="4"/>
      <c r="J22" s="4"/>
      <c r="K22" s="4"/>
      <c r="L22" s="4"/>
      <c r="M22" s="4"/>
      <c r="N22" s="4"/>
      <c r="Y22" s="95"/>
      <c r="AA22" s="4"/>
      <c r="AB22" s="4"/>
      <c r="AC22" s="4"/>
      <c r="AD22" s="4"/>
      <c r="AE22" s="5"/>
      <c r="AG22" s="4"/>
      <c r="AH22" s="4"/>
      <c r="AI22" s="4"/>
      <c r="AJ22" s="4"/>
      <c r="AK22" s="4"/>
      <c r="AL22" s="4"/>
      <c r="AM22" s="4"/>
      <c r="AN22" s="4"/>
    </row>
    <row r="23" spans="1:42" ht="60.75" thickBot="1" x14ac:dyDescent="0.3">
      <c r="A23" s="6"/>
      <c r="B23" s="6"/>
      <c r="C23" s="51" t="s">
        <v>415</v>
      </c>
      <c r="D23" s="52" t="s">
        <v>564</v>
      </c>
      <c r="E23" s="52" t="s">
        <v>565</v>
      </c>
      <c r="F23" s="52" t="s">
        <v>731</v>
      </c>
      <c r="G23" s="101" t="s">
        <v>567</v>
      </c>
      <c r="H23" s="6"/>
      <c r="I23" s="6"/>
      <c r="J23" s="6"/>
      <c r="K23" s="6"/>
      <c r="L23" s="6"/>
      <c r="M23" s="6"/>
      <c r="N23" s="6"/>
      <c r="O23" s="6"/>
      <c r="Y23" s="95"/>
      <c r="AA23" s="6"/>
      <c r="AB23" s="6"/>
      <c r="AC23" s="51" t="s">
        <v>415</v>
      </c>
      <c r="AD23" s="52" t="s">
        <v>564</v>
      </c>
      <c r="AE23" s="52" t="s">
        <v>565</v>
      </c>
      <c r="AF23" s="52" t="s">
        <v>566</v>
      </c>
      <c r="AG23" s="398" t="s">
        <v>580</v>
      </c>
      <c r="AH23" s="101" t="s">
        <v>567</v>
      </c>
      <c r="AI23" s="6"/>
      <c r="AN23" s="6"/>
      <c r="AO23" s="6"/>
    </row>
    <row r="24" spans="1:42" x14ac:dyDescent="0.25">
      <c r="A24" s="4"/>
      <c r="B24" s="4"/>
      <c r="C24" s="170">
        <v>0</v>
      </c>
      <c r="D24" s="171">
        <v>0</v>
      </c>
      <c r="E24" s="171">
        <v>0</v>
      </c>
      <c r="F24" s="171">
        <v>0</v>
      </c>
      <c r="G24" s="172">
        <f>SUM(D24:F24)</f>
        <v>0</v>
      </c>
      <c r="H24" s="5"/>
      <c r="I24" s="5"/>
      <c r="J24" s="5"/>
      <c r="K24" s="5"/>
      <c r="L24" s="5"/>
      <c r="M24" s="5"/>
      <c r="N24" s="5"/>
      <c r="O24" s="5"/>
      <c r="Y24" s="95"/>
      <c r="AA24" s="4"/>
      <c r="AB24" s="4"/>
      <c r="AC24" s="170">
        <v>0</v>
      </c>
      <c r="AD24" s="171">
        <f>D24</f>
        <v>0</v>
      </c>
      <c r="AE24" s="171">
        <f t="shared" ref="AE24:AF24" si="28">E24</f>
        <v>0</v>
      </c>
      <c r="AF24" s="171">
        <f t="shared" si="28"/>
        <v>0</v>
      </c>
      <c r="AG24" s="399">
        <v>0</v>
      </c>
      <c r="AH24" s="172">
        <f>SUM(AD24:AG24)</f>
        <v>0</v>
      </c>
      <c r="AI24" s="5"/>
      <c r="AJ24" s="5"/>
      <c r="AK24" s="5"/>
      <c r="AL24" s="5"/>
      <c r="AM24" s="5"/>
      <c r="AN24" s="5"/>
      <c r="AO24" s="5"/>
    </row>
    <row r="25" spans="1:42" x14ac:dyDescent="0.25">
      <c r="A25" s="4"/>
      <c r="B25" s="4"/>
      <c r="C25" s="173">
        <v>1</v>
      </c>
      <c r="D25" s="5">
        <f>RRHH!$R$26</f>
        <v>376143.75</v>
      </c>
      <c r="E25" s="160">
        <v>50000</v>
      </c>
      <c r="F25" s="5">
        <f>'MP EE Ins'!$E$116</f>
        <v>400000</v>
      </c>
      <c r="G25" s="127">
        <f t="shared" ref="G25:G34" si="29">SUM(D25:F25)</f>
        <v>826143.75</v>
      </c>
      <c r="H25" s="5"/>
      <c r="I25" s="5"/>
      <c r="J25" s="5"/>
      <c r="K25" s="5"/>
      <c r="L25" s="5"/>
      <c r="M25" s="5"/>
      <c r="N25" s="5"/>
      <c r="O25" s="5"/>
      <c r="Y25" s="95"/>
      <c r="AA25" s="4"/>
      <c r="AB25" s="4"/>
      <c r="AC25" s="173">
        <v>1</v>
      </c>
      <c r="AD25" s="5">
        <f t="shared" ref="AD25:AD34" si="30">D25</f>
        <v>376143.75</v>
      </c>
      <c r="AE25" s="5">
        <f t="shared" ref="AE25:AE34" si="31">E25</f>
        <v>50000</v>
      </c>
      <c r="AF25" s="5">
        <f t="shared" ref="AF25:AF34" si="32">F25</f>
        <v>400000</v>
      </c>
      <c r="AG25" s="400">
        <f>Préstamo!E12</f>
        <v>624694.95600000001</v>
      </c>
      <c r="AH25" s="127">
        <f t="shared" ref="AH25:AH34" si="33">SUM(AD25:AG25)</f>
        <v>1450838.706</v>
      </c>
      <c r="AI25" s="5"/>
      <c r="AJ25" s="5"/>
      <c r="AK25" s="5"/>
      <c r="AL25" s="5"/>
      <c r="AM25" s="5"/>
      <c r="AN25" s="5"/>
      <c r="AO25" s="5"/>
    </row>
    <row r="26" spans="1:42" x14ac:dyDescent="0.25">
      <c r="A26" s="4"/>
      <c r="B26" s="4"/>
      <c r="C26" s="173">
        <v>2</v>
      </c>
      <c r="D26" s="5">
        <f>RRHH!$R$26</f>
        <v>376143.75</v>
      </c>
      <c r="E26" s="160">
        <v>50000</v>
      </c>
      <c r="F26" s="5">
        <f>'MP EE Ins'!$E$116</f>
        <v>400000</v>
      </c>
      <c r="G26" s="127">
        <f t="shared" si="29"/>
        <v>826143.75</v>
      </c>
      <c r="H26" s="5"/>
      <c r="I26" s="5"/>
      <c r="J26" s="5"/>
      <c r="K26" s="5"/>
      <c r="L26" s="5"/>
      <c r="M26" s="5"/>
      <c r="N26" s="5"/>
      <c r="O26" s="5"/>
      <c r="Y26" s="95"/>
      <c r="AA26" s="4"/>
      <c r="AB26" s="4"/>
      <c r="AC26" s="173">
        <v>2</v>
      </c>
      <c r="AD26" s="5">
        <f t="shared" si="30"/>
        <v>376143.75</v>
      </c>
      <c r="AE26" s="5">
        <f t="shared" si="31"/>
        <v>50000</v>
      </c>
      <c r="AF26" s="5">
        <f t="shared" si="32"/>
        <v>400000</v>
      </c>
      <c r="AG26" s="400">
        <f>Préstamo!E13</f>
        <v>624694.95600000001</v>
      </c>
      <c r="AH26" s="127">
        <f t="shared" si="33"/>
        <v>1450838.706</v>
      </c>
      <c r="AI26" s="5"/>
      <c r="AJ26" s="5"/>
      <c r="AK26" s="5"/>
      <c r="AL26" s="5"/>
      <c r="AM26" s="5"/>
      <c r="AN26" s="5"/>
      <c r="AO26" s="5"/>
    </row>
    <row r="27" spans="1:42" x14ac:dyDescent="0.25">
      <c r="A27" s="4"/>
      <c r="B27" s="4"/>
      <c r="C27" s="173">
        <v>3</v>
      </c>
      <c r="D27" s="5">
        <f>RRHH!$R$26</f>
        <v>376143.75</v>
      </c>
      <c r="E27" s="160">
        <v>50000</v>
      </c>
      <c r="F27" s="5">
        <f>'MP EE Ins'!$E$116</f>
        <v>400000</v>
      </c>
      <c r="G27" s="127">
        <f t="shared" si="29"/>
        <v>826143.75</v>
      </c>
      <c r="H27" s="5"/>
      <c r="I27" s="5"/>
      <c r="J27" s="5"/>
      <c r="K27" s="5"/>
      <c r="L27" s="5"/>
      <c r="M27" s="5"/>
      <c r="N27" s="5"/>
      <c r="O27" s="5"/>
      <c r="Y27" s="95"/>
      <c r="AA27" s="4"/>
      <c r="AB27" s="4"/>
      <c r="AC27" s="173">
        <v>3</v>
      </c>
      <c r="AD27" s="5">
        <f t="shared" si="30"/>
        <v>376143.75</v>
      </c>
      <c r="AE27" s="5">
        <f t="shared" si="31"/>
        <v>50000</v>
      </c>
      <c r="AF27" s="5">
        <f t="shared" si="32"/>
        <v>400000</v>
      </c>
      <c r="AG27" s="400">
        <f>Préstamo!E14</f>
        <v>624694.95600000001</v>
      </c>
      <c r="AH27" s="127">
        <f t="shared" si="33"/>
        <v>1450838.706</v>
      </c>
      <c r="AI27" s="5"/>
      <c r="AJ27" s="5"/>
      <c r="AK27" s="5"/>
      <c r="AL27" s="5"/>
      <c r="AM27" s="5"/>
      <c r="AN27" s="5"/>
      <c r="AO27" s="5"/>
    </row>
    <row r="28" spans="1:42" x14ac:dyDescent="0.25">
      <c r="A28" s="4"/>
      <c r="B28" s="4"/>
      <c r="C28" s="173">
        <v>4</v>
      </c>
      <c r="D28" s="5">
        <f>RRHH!$R$26</f>
        <v>376143.75</v>
      </c>
      <c r="E28" s="160">
        <v>50000</v>
      </c>
      <c r="F28" s="5">
        <f>'MP EE Ins'!$E$116</f>
        <v>400000</v>
      </c>
      <c r="G28" s="127">
        <f t="shared" si="29"/>
        <v>826143.75</v>
      </c>
      <c r="H28" s="5"/>
      <c r="I28" s="5"/>
      <c r="J28" s="5"/>
      <c r="K28" s="5"/>
      <c r="L28" s="5"/>
      <c r="M28" s="5"/>
      <c r="N28" s="5"/>
      <c r="O28" s="5"/>
      <c r="Y28" s="95"/>
      <c r="AA28" s="4"/>
      <c r="AB28" s="4"/>
      <c r="AC28" s="173">
        <v>4</v>
      </c>
      <c r="AD28" s="5">
        <f t="shared" si="30"/>
        <v>376143.75</v>
      </c>
      <c r="AE28" s="5">
        <f t="shared" si="31"/>
        <v>50000</v>
      </c>
      <c r="AF28" s="5">
        <f t="shared" si="32"/>
        <v>400000</v>
      </c>
      <c r="AG28" s="400">
        <f>Préstamo!E15</f>
        <v>546608.08649999998</v>
      </c>
      <c r="AH28" s="127">
        <f t="shared" si="33"/>
        <v>1372751.8365</v>
      </c>
      <c r="AI28" s="5"/>
      <c r="AJ28" s="5"/>
      <c r="AK28" s="5"/>
      <c r="AL28" s="5"/>
      <c r="AM28" s="5"/>
      <c r="AN28" s="5"/>
      <c r="AO28" s="5"/>
    </row>
    <row r="29" spans="1:42" x14ac:dyDescent="0.25">
      <c r="A29" s="4"/>
      <c r="B29" s="4"/>
      <c r="C29" s="173">
        <v>5</v>
      </c>
      <c r="D29" s="5">
        <f>RRHH!$R$26</f>
        <v>376143.75</v>
      </c>
      <c r="E29" s="160">
        <v>50000</v>
      </c>
      <c r="F29" s="5">
        <f>'MP EE Ins'!$E$116</f>
        <v>400000</v>
      </c>
      <c r="G29" s="127">
        <f t="shared" si="29"/>
        <v>826143.75</v>
      </c>
      <c r="H29" s="5"/>
      <c r="I29" s="5"/>
      <c r="J29" s="5"/>
      <c r="K29" s="5"/>
      <c r="L29" s="5"/>
      <c r="M29" s="5"/>
      <c r="N29" s="5"/>
      <c r="O29" s="5"/>
      <c r="Y29" s="95"/>
      <c r="AA29" s="4"/>
      <c r="AB29" s="4"/>
      <c r="AC29" s="173">
        <v>5</v>
      </c>
      <c r="AD29" s="5">
        <f t="shared" si="30"/>
        <v>376143.75</v>
      </c>
      <c r="AE29" s="5">
        <f t="shared" si="31"/>
        <v>50000</v>
      </c>
      <c r="AF29" s="5">
        <f t="shared" si="32"/>
        <v>400000</v>
      </c>
      <c r="AG29" s="400">
        <f>Préstamo!E16</f>
        <v>468521.217</v>
      </c>
      <c r="AH29" s="127">
        <f t="shared" si="33"/>
        <v>1294664.9669999999</v>
      </c>
      <c r="AI29" s="5"/>
      <c r="AJ29" s="5"/>
      <c r="AK29" s="5"/>
      <c r="AL29" s="5"/>
      <c r="AM29" s="5"/>
      <c r="AN29" s="5"/>
      <c r="AO29" s="5"/>
    </row>
    <row r="30" spans="1:42" x14ac:dyDescent="0.25">
      <c r="A30" s="4"/>
      <c r="B30" s="4"/>
      <c r="C30" s="173">
        <v>6</v>
      </c>
      <c r="D30" s="5">
        <f>RRHH!$R$26</f>
        <v>376143.75</v>
      </c>
      <c r="E30" s="160">
        <v>50000</v>
      </c>
      <c r="F30" s="5">
        <f>'MP EE Ins'!$E$116</f>
        <v>400000</v>
      </c>
      <c r="G30" s="127">
        <f t="shared" si="29"/>
        <v>826143.75</v>
      </c>
      <c r="H30" s="5"/>
      <c r="I30" s="5"/>
      <c r="J30" s="5"/>
      <c r="K30" s="5"/>
      <c r="L30" s="5"/>
      <c r="M30" s="5"/>
      <c r="N30" s="5"/>
      <c r="O30" s="5"/>
      <c r="Y30" s="95"/>
      <c r="AA30" s="4"/>
      <c r="AB30" s="4"/>
      <c r="AC30" s="173">
        <v>6</v>
      </c>
      <c r="AD30" s="5">
        <f t="shared" si="30"/>
        <v>376143.75</v>
      </c>
      <c r="AE30" s="5">
        <f t="shared" si="31"/>
        <v>50000</v>
      </c>
      <c r="AF30" s="5">
        <f t="shared" si="32"/>
        <v>400000</v>
      </c>
      <c r="AG30" s="400">
        <f>Préstamo!E17</f>
        <v>390434.34749999997</v>
      </c>
      <c r="AH30" s="127">
        <f t="shared" si="33"/>
        <v>1216578.0974999999</v>
      </c>
      <c r="AI30" s="5"/>
      <c r="AJ30" s="5"/>
      <c r="AK30" s="5"/>
      <c r="AL30" s="5"/>
      <c r="AM30" s="5"/>
      <c r="AN30" s="5"/>
      <c r="AO30" s="5"/>
    </row>
    <row r="31" spans="1:42" x14ac:dyDescent="0.25">
      <c r="A31" s="4"/>
      <c r="B31" s="4"/>
      <c r="C31" s="173">
        <v>7</v>
      </c>
      <c r="D31" s="5">
        <f>RRHH!$R$26</f>
        <v>376143.75</v>
      </c>
      <c r="E31" s="160">
        <v>50000</v>
      </c>
      <c r="F31" s="5">
        <f>'MP EE Ins'!$E$116</f>
        <v>400000</v>
      </c>
      <c r="G31" s="127">
        <f t="shared" si="29"/>
        <v>826143.75</v>
      </c>
      <c r="H31" s="5"/>
      <c r="I31" s="5"/>
      <c r="J31" s="5"/>
      <c r="K31" s="5"/>
      <c r="L31" s="5"/>
      <c r="M31" s="5"/>
      <c r="N31" s="5"/>
      <c r="O31" s="5"/>
      <c r="Y31" s="95"/>
      <c r="AA31" s="4"/>
      <c r="AB31" s="4"/>
      <c r="AC31" s="173">
        <v>7</v>
      </c>
      <c r="AD31" s="5">
        <f t="shared" si="30"/>
        <v>376143.75</v>
      </c>
      <c r="AE31" s="5">
        <f t="shared" si="31"/>
        <v>50000</v>
      </c>
      <c r="AF31" s="5">
        <f t="shared" si="32"/>
        <v>400000</v>
      </c>
      <c r="AG31" s="400">
        <f>Préstamo!E18</f>
        <v>312347.478</v>
      </c>
      <c r="AH31" s="127">
        <f t="shared" si="33"/>
        <v>1138491.2280000001</v>
      </c>
      <c r="AI31" s="5"/>
      <c r="AJ31" s="5"/>
      <c r="AK31" s="5"/>
      <c r="AL31" s="5"/>
      <c r="AM31" s="5"/>
      <c r="AN31" s="5"/>
      <c r="AO31" s="5"/>
    </row>
    <row r="32" spans="1:42" x14ac:dyDescent="0.25">
      <c r="A32" s="4"/>
      <c r="B32" s="4"/>
      <c r="C32" s="173">
        <v>8</v>
      </c>
      <c r="D32" s="5">
        <f>RRHH!$R$26</f>
        <v>376143.75</v>
      </c>
      <c r="E32" s="160">
        <v>50000</v>
      </c>
      <c r="F32" s="5">
        <f>'MP EE Ins'!$E$116</f>
        <v>400000</v>
      </c>
      <c r="G32" s="127">
        <f t="shared" si="29"/>
        <v>826143.75</v>
      </c>
      <c r="H32" s="5"/>
      <c r="I32" s="5"/>
      <c r="J32" s="5"/>
      <c r="K32" s="5"/>
      <c r="L32" s="5"/>
      <c r="M32" s="5"/>
      <c r="N32" s="5"/>
      <c r="O32" s="5"/>
      <c r="Y32" s="95"/>
      <c r="AA32" s="4"/>
      <c r="AB32" s="4"/>
      <c r="AC32" s="173">
        <v>8</v>
      </c>
      <c r="AD32" s="5">
        <f t="shared" si="30"/>
        <v>376143.75</v>
      </c>
      <c r="AE32" s="5">
        <f t="shared" si="31"/>
        <v>50000</v>
      </c>
      <c r="AF32" s="5">
        <f t="shared" si="32"/>
        <v>400000</v>
      </c>
      <c r="AG32" s="400">
        <f>Préstamo!E19</f>
        <v>234260.60849999997</v>
      </c>
      <c r="AH32" s="127">
        <f t="shared" si="33"/>
        <v>1060404.3585000001</v>
      </c>
      <c r="AI32" s="5"/>
      <c r="AJ32" s="5"/>
      <c r="AK32" s="5"/>
      <c r="AL32" s="5"/>
      <c r="AM32" s="5"/>
      <c r="AN32" s="5"/>
      <c r="AO32" s="5"/>
    </row>
    <row r="33" spans="1:49" x14ac:dyDescent="0.25">
      <c r="A33" s="4"/>
      <c r="B33" s="4"/>
      <c r="C33" s="173">
        <v>9</v>
      </c>
      <c r="D33" s="5">
        <f>RRHH!$R$26</f>
        <v>376143.75</v>
      </c>
      <c r="E33" s="160">
        <v>50000</v>
      </c>
      <c r="F33" s="5">
        <f>'MP EE Ins'!$E$116</f>
        <v>400000</v>
      </c>
      <c r="G33" s="127">
        <f t="shared" si="29"/>
        <v>826143.75</v>
      </c>
      <c r="H33" s="5"/>
      <c r="I33" s="5"/>
      <c r="J33" s="5"/>
      <c r="K33" s="5"/>
      <c r="L33" s="5"/>
      <c r="M33" s="5"/>
      <c r="N33" s="5"/>
      <c r="O33" s="5"/>
      <c r="Y33" s="95"/>
      <c r="AA33" s="4"/>
      <c r="AB33" s="4"/>
      <c r="AC33" s="173">
        <v>9</v>
      </c>
      <c r="AD33" s="5">
        <f t="shared" si="30"/>
        <v>376143.75</v>
      </c>
      <c r="AE33" s="5">
        <f t="shared" si="31"/>
        <v>50000</v>
      </c>
      <c r="AF33" s="5">
        <f t="shared" si="32"/>
        <v>400000</v>
      </c>
      <c r="AG33" s="400">
        <f>Préstamo!E20</f>
        <v>156173.73899999997</v>
      </c>
      <c r="AH33" s="127">
        <f t="shared" si="33"/>
        <v>982317.48899999994</v>
      </c>
      <c r="AI33" s="5"/>
      <c r="AJ33" s="5"/>
      <c r="AK33" s="5"/>
      <c r="AL33" s="5"/>
      <c r="AM33" s="5"/>
      <c r="AN33" s="5"/>
      <c r="AO33" s="5"/>
    </row>
    <row r="34" spans="1:49" ht="15.75" thickBot="1" x14ac:dyDescent="0.3">
      <c r="A34" s="4"/>
      <c r="B34" s="4"/>
      <c r="C34" s="174">
        <v>10</v>
      </c>
      <c r="D34" s="62">
        <f>RRHH!$R$26</f>
        <v>376143.75</v>
      </c>
      <c r="E34" s="530">
        <v>50000</v>
      </c>
      <c r="F34" s="62">
        <f>'MP EE Ins'!$E$116</f>
        <v>400000</v>
      </c>
      <c r="G34" s="130">
        <f t="shared" si="29"/>
        <v>826143.75</v>
      </c>
      <c r="H34" s="5"/>
      <c r="I34" s="5"/>
      <c r="J34" s="5"/>
      <c r="K34" s="5"/>
      <c r="L34" s="5"/>
      <c r="M34" s="5"/>
      <c r="N34" s="5"/>
      <c r="O34" s="5"/>
      <c r="Y34" s="95"/>
      <c r="AA34" s="4"/>
      <c r="AB34" s="4"/>
      <c r="AC34" s="174">
        <v>10</v>
      </c>
      <c r="AD34" s="62">
        <f t="shared" si="30"/>
        <v>376143.75</v>
      </c>
      <c r="AE34" s="62">
        <f t="shared" si="31"/>
        <v>50000</v>
      </c>
      <c r="AF34" s="62">
        <f t="shared" si="32"/>
        <v>400000</v>
      </c>
      <c r="AG34" s="401">
        <f>Préstamo!E21</f>
        <v>78086.869499999972</v>
      </c>
      <c r="AH34" s="130">
        <f t="shared" si="33"/>
        <v>904230.61950000003</v>
      </c>
      <c r="AI34" s="5"/>
      <c r="AJ34" s="5"/>
      <c r="AK34" s="5"/>
      <c r="AL34" s="5"/>
      <c r="AM34" s="5"/>
      <c r="AN34" s="5"/>
      <c r="AO34" s="5"/>
    </row>
    <row r="35" spans="1:49" ht="15.75" thickBot="1" x14ac:dyDescent="0.3">
      <c r="A35" s="4"/>
      <c r="B35" s="4"/>
      <c r="C35" s="157" t="s">
        <v>169</v>
      </c>
      <c r="D35" s="60">
        <f>SUM(D24:D34)</f>
        <v>3761437.5</v>
      </c>
      <c r="E35" s="60">
        <f>SUM(E24:E34)</f>
        <v>500000</v>
      </c>
      <c r="F35" s="60">
        <f>SUM(F24:F34)</f>
        <v>4000000</v>
      </c>
      <c r="G35" s="114">
        <f>SUM(G24:G34)</f>
        <v>8261437.5</v>
      </c>
      <c r="H35" s="7"/>
      <c r="I35" s="7"/>
      <c r="J35" s="7"/>
      <c r="K35" s="7"/>
      <c r="L35" s="7"/>
      <c r="M35" s="7"/>
      <c r="N35" s="7"/>
      <c r="O35" s="7"/>
      <c r="Y35" s="95"/>
      <c r="AA35" s="4"/>
      <c r="AB35" s="4"/>
      <c r="AC35" s="157" t="s">
        <v>169</v>
      </c>
      <c r="AD35" s="60">
        <f>SUM(AD24:AD34)</f>
        <v>3761437.5</v>
      </c>
      <c r="AE35" s="60">
        <f>SUM(AE24:AE34)</f>
        <v>500000</v>
      </c>
      <c r="AF35" s="60">
        <f>SUM(AF24:AF34)</f>
        <v>4000000</v>
      </c>
      <c r="AG35" s="402">
        <f>SUM(AG24:AG34)</f>
        <v>4060517.2140000006</v>
      </c>
      <c r="AH35" s="114">
        <f>SUM(AH24:AH34)</f>
        <v>12321954.714000002</v>
      </c>
      <c r="AI35" s="7"/>
      <c r="AJ35" s="7"/>
      <c r="AK35" s="7"/>
      <c r="AL35" s="7"/>
      <c r="AM35" s="7"/>
      <c r="AN35" s="7"/>
      <c r="AO35" s="7"/>
    </row>
    <row r="36" spans="1:49" s="61" customFormat="1" ht="15.75" thickBot="1" x14ac:dyDescent="0.3">
      <c r="Y36" s="99"/>
    </row>
    <row r="37" spans="1:49" x14ac:dyDescent="0.25">
      <c r="Y37" s="95"/>
    </row>
    <row r="38" spans="1:49" x14ac:dyDescent="0.25">
      <c r="A38" s="56" t="s">
        <v>452</v>
      </c>
      <c r="B38" s="56"/>
      <c r="C38" s="5"/>
      <c r="D38" s="5"/>
      <c r="E38" s="5"/>
      <c r="G38" s="4"/>
      <c r="H38" s="4"/>
      <c r="I38" s="4"/>
      <c r="J38" s="4"/>
      <c r="K38" s="4"/>
      <c r="L38" s="4"/>
      <c r="M38" s="4"/>
      <c r="N38" s="4"/>
      <c r="Y38" s="95"/>
      <c r="AA38" s="56" t="s">
        <v>452</v>
      </c>
      <c r="AB38" s="56"/>
      <c r="AC38" s="5"/>
      <c r="AD38" s="5"/>
      <c r="AE38" s="5"/>
      <c r="AG38" s="4"/>
      <c r="AH38" s="4"/>
      <c r="AI38" s="4"/>
      <c r="AJ38" s="4"/>
      <c r="AK38" s="4"/>
      <c r="AL38" s="4"/>
      <c r="AM38" s="4"/>
      <c r="AN38" s="4"/>
    </row>
    <row r="39" spans="1:49" ht="15.75" thickBot="1" x14ac:dyDescent="0.3">
      <c r="A39" s="4"/>
      <c r="B39" s="4"/>
      <c r="C39" s="5"/>
      <c r="D39" s="5"/>
      <c r="E39" s="5"/>
      <c r="G39" s="4"/>
      <c r="H39" s="4"/>
      <c r="I39" s="4"/>
      <c r="J39" s="4"/>
      <c r="K39" s="4"/>
      <c r="L39" s="4"/>
      <c r="M39" s="4"/>
      <c r="N39" s="4"/>
      <c r="Y39" s="95"/>
      <c r="AA39" s="4"/>
      <c r="AB39" s="4"/>
      <c r="AC39" s="5"/>
      <c r="AD39" s="5"/>
      <c r="AE39" s="5"/>
      <c r="AG39" s="4"/>
      <c r="AH39" s="4"/>
      <c r="AI39" s="4"/>
      <c r="AJ39" s="4"/>
      <c r="AK39" s="4"/>
      <c r="AL39" s="4"/>
      <c r="AM39" s="4"/>
      <c r="AN39" s="4"/>
    </row>
    <row r="40" spans="1:49" ht="75.75" thickBot="1" x14ac:dyDescent="0.3">
      <c r="A40" s="6"/>
      <c r="B40" s="6"/>
      <c r="C40" s="51" t="s">
        <v>415</v>
      </c>
      <c r="D40" s="52" t="s">
        <v>568</v>
      </c>
      <c r="E40" s="52" t="s">
        <v>569</v>
      </c>
      <c r="F40" s="52" t="s">
        <v>570</v>
      </c>
      <c r="G40" s="52" t="s">
        <v>571</v>
      </c>
      <c r="H40" s="52" t="s">
        <v>488</v>
      </c>
      <c r="I40" s="101" t="s">
        <v>572</v>
      </c>
      <c r="J40" s="6"/>
      <c r="K40" s="6"/>
      <c r="L40" s="6"/>
      <c r="M40" s="6"/>
      <c r="N40" s="6"/>
      <c r="O40" s="6"/>
      <c r="Y40" s="95"/>
      <c r="AA40" s="6"/>
      <c r="AB40" s="6"/>
      <c r="AC40" s="51" t="s">
        <v>415</v>
      </c>
      <c r="AD40" s="52" t="s">
        <v>568</v>
      </c>
      <c r="AE40" s="52" t="s">
        <v>569</v>
      </c>
      <c r="AF40" s="398" t="s">
        <v>570</v>
      </c>
      <c r="AG40" s="398" t="s">
        <v>571</v>
      </c>
      <c r="AH40" s="398" t="s">
        <v>488</v>
      </c>
      <c r="AI40" s="418" t="s">
        <v>572</v>
      </c>
      <c r="AJ40" s="6"/>
      <c r="AK40" s="6"/>
      <c r="AL40" s="6"/>
      <c r="AM40" s="6"/>
      <c r="AN40" s="6"/>
      <c r="AO40" s="6"/>
    </row>
    <row r="41" spans="1:49" x14ac:dyDescent="0.25">
      <c r="A41" s="4"/>
      <c r="B41" s="4"/>
      <c r="C41" s="170">
        <v>0</v>
      </c>
      <c r="D41" s="171">
        <f>$O$48</f>
        <v>10000</v>
      </c>
      <c r="E41" s="171">
        <f>$N$41*$U$43</f>
        <v>1185.1989719999999</v>
      </c>
      <c r="F41" s="171">
        <v>0</v>
      </c>
      <c r="G41" s="171">
        <f>SUM(D41:F41)</f>
        <v>11185.198972</v>
      </c>
      <c r="H41" s="171">
        <f>'A Económico'!F5</f>
        <v>0</v>
      </c>
      <c r="I41" s="172">
        <f>G41+H41</f>
        <v>11185.198972</v>
      </c>
      <c r="J41" s="5"/>
      <c r="K41" s="5"/>
      <c r="L41" s="5"/>
      <c r="M41" s="5" t="s">
        <v>454</v>
      </c>
      <c r="N41" s="236">
        <v>1.4999999999999999E-2</v>
      </c>
      <c r="O41" s="5" t="s">
        <v>459</v>
      </c>
      <c r="Y41" s="95"/>
      <c r="AA41" s="4"/>
      <c r="AB41" s="4"/>
      <c r="AC41" s="170">
        <v>0</v>
      </c>
      <c r="AD41" s="171">
        <f>D41</f>
        <v>10000</v>
      </c>
      <c r="AE41" s="171">
        <f t="shared" ref="AE41" si="34">E41</f>
        <v>1185.1989719999999</v>
      </c>
      <c r="AF41" s="399">
        <v>0</v>
      </c>
      <c r="AG41" s="399">
        <f>SUM(AD41:AF41)</f>
        <v>11185.198972</v>
      </c>
      <c r="AH41" s="399">
        <f>'A Económico'!F23</f>
        <v>0</v>
      </c>
      <c r="AI41" s="419">
        <f>AG41+AH41</f>
        <v>11185.198972</v>
      </c>
      <c r="AJ41" s="5"/>
      <c r="AK41" s="5"/>
      <c r="AL41" s="5"/>
      <c r="AM41" s="5" t="str">
        <f>M41</f>
        <v>ICOSA</v>
      </c>
      <c r="AN41" s="55">
        <f t="shared" ref="AN41:AO41" si="35">N41</f>
        <v>1.4999999999999999E-2</v>
      </c>
      <c r="AO41" s="5" t="str">
        <f t="shared" si="35"/>
        <v>para la constitución de la SA</v>
      </c>
      <c r="AP41" s="5"/>
      <c r="AQ41" s="5"/>
      <c r="AR41" s="5"/>
      <c r="AS41" s="5"/>
      <c r="AT41" s="5"/>
      <c r="AU41" s="5"/>
      <c r="AV41" s="5"/>
      <c r="AW41" s="5"/>
    </row>
    <row r="42" spans="1:49" x14ac:dyDescent="0.25">
      <c r="A42" s="4"/>
      <c r="B42" s="4"/>
      <c r="C42" s="173">
        <v>1</v>
      </c>
      <c r="D42" s="5">
        <f t="shared" ref="D42:D51" si="36">$O$48</f>
        <v>10000</v>
      </c>
      <c r="E42" s="5">
        <f>$N$42*$U$43</f>
        <v>592.59948599999996</v>
      </c>
      <c r="F42" s="5">
        <f>Amort!AY6*$N$44</f>
        <v>254500.22855292918</v>
      </c>
      <c r="G42" s="5">
        <f t="shared" ref="G42:G51" si="37">SUM(D42:F42)</f>
        <v>265092.8280389292</v>
      </c>
      <c r="H42" s="5">
        <f>'A Económico'!F6</f>
        <v>412414.80406790809</v>
      </c>
      <c r="I42" s="127">
        <f>G42+H42</f>
        <v>677507.63210683735</v>
      </c>
      <c r="J42" s="5"/>
      <c r="K42" s="5"/>
      <c r="L42" s="5"/>
      <c r="M42" s="5"/>
      <c r="N42" s="236">
        <v>7.4999999999999997E-3</v>
      </c>
      <c r="O42" s="5" t="s">
        <v>460</v>
      </c>
      <c r="Y42" s="95"/>
      <c r="AA42" s="4"/>
      <c r="AB42" s="4"/>
      <c r="AC42" s="173">
        <v>1</v>
      </c>
      <c r="AD42" s="5">
        <f t="shared" ref="AD42:AD51" si="38">D42</f>
        <v>10000</v>
      </c>
      <c r="AE42" s="5">
        <f t="shared" ref="AE42:AE51" si="39">E42</f>
        <v>592.59948599999996</v>
      </c>
      <c r="AF42" s="400">
        <f>Amort!BA107*Costos!$AN$44</f>
        <v>109258.6512829292</v>
      </c>
      <c r="AG42" s="400">
        <f t="shared" ref="AG42:AG51" si="40">SUM(AD42:AF42)</f>
        <v>119851.2507689292</v>
      </c>
      <c r="AH42" s="400">
        <f>'A Económico'!F24</f>
        <v>256110.92028540815</v>
      </c>
      <c r="AI42" s="420">
        <f t="shared" ref="AI42:AI51" si="41">AG42+AH42</f>
        <v>375962.17105433735</v>
      </c>
      <c r="AJ42" s="5"/>
      <c r="AK42" s="5"/>
      <c r="AL42" s="5"/>
      <c r="AM42" s="5"/>
      <c r="AN42" s="55">
        <f t="shared" ref="AN42:AN48" si="42">N42</f>
        <v>7.4999999999999997E-3</v>
      </c>
      <c r="AO42" s="5" t="str">
        <f t="shared" ref="AO42:AO48" si="43">O42</f>
        <v>para cada cierre de ejercicio</v>
      </c>
      <c r="AP42" s="5"/>
      <c r="AQ42" s="5"/>
      <c r="AR42" s="5"/>
      <c r="AS42" s="5"/>
      <c r="AT42" s="5"/>
      <c r="AU42" s="5"/>
      <c r="AV42" s="5"/>
      <c r="AW42" s="5"/>
    </row>
    <row r="43" spans="1:49" x14ac:dyDescent="0.25">
      <c r="A43" s="4"/>
      <c r="B43" s="4"/>
      <c r="C43" s="173">
        <v>2</v>
      </c>
      <c r="D43" s="5">
        <f t="shared" si="36"/>
        <v>10000</v>
      </c>
      <c r="E43" s="5">
        <f t="shared" ref="E43:E51" si="44">$N$42*$U$43</f>
        <v>592.59948599999996</v>
      </c>
      <c r="F43" s="5">
        <f>Amort!AY7*$N$44</f>
        <v>230233.05323740054</v>
      </c>
      <c r="G43" s="5">
        <f t="shared" si="37"/>
        <v>240825.65272340053</v>
      </c>
      <c r="H43" s="5">
        <f>'A Económico'!F7</f>
        <v>608770.46044551418</v>
      </c>
      <c r="I43" s="127">
        <f t="shared" ref="I43:I51" si="45">G43+H43</f>
        <v>849596.11316891469</v>
      </c>
      <c r="J43" s="5"/>
      <c r="K43" s="5"/>
      <c r="L43" s="5"/>
      <c r="M43" s="5"/>
      <c r="O43" s="15" t="s">
        <v>462</v>
      </c>
      <c r="P43" s="160">
        <v>578428</v>
      </c>
      <c r="Q43" t="s">
        <v>461</v>
      </c>
      <c r="R43" t="s">
        <v>463</v>
      </c>
      <c r="S43" s="149">
        <v>5.4640000000000004</v>
      </c>
      <c r="T43" t="s">
        <v>464</v>
      </c>
      <c r="U43" s="5">
        <f>P43*S43/General!D2</f>
        <v>79013.264800000004</v>
      </c>
      <c r="V43" t="s">
        <v>6</v>
      </c>
      <c r="Y43" s="95"/>
      <c r="AA43" s="4"/>
      <c r="AB43" s="4"/>
      <c r="AC43" s="173">
        <v>2</v>
      </c>
      <c r="AD43" s="5">
        <f t="shared" si="38"/>
        <v>10000</v>
      </c>
      <c r="AE43" s="5">
        <f t="shared" si="39"/>
        <v>592.59948599999996</v>
      </c>
      <c r="AF43" s="400">
        <f>Amort!BA108*Costos!$AN$44</f>
        <v>82805.04362140056</v>
      </c>
      <c r="AG43" s="400">
        <f t="shared" si="40"/>
        <v>93397.643107400567</v>
      </c>
      <c r="AH43" s="400">
        <f>'A Económico'!F25</f>
        <v>453013.18474951433</v>
      </c>
      <c r="AI43" s="420">
        <f t="shared" si="41"/>
        <v>546410.82785691484</v>
      </c>
      <c r="AJ43" s="5"/>
      <c r="AK43" s="5"/>
      <c r="AL43" s="5"/>
      <c r="AM43" s="5"/>
      <c r="AN43" s="5"/>
      <c r="AO43" s="5" t="str">
        <f t="shared" si="43"/>
        <v>se aplica sobre</v>
      </c>
      <c r="AP43" s="5">
        <f t="shared" ref="AP43:AP48" si="46">P43</f>
        <v>578428</v>
      </c>
      <c r="AQ43" s="5" t="str">
        <f t="shared" ref="AQ43" si="47">Q43</f>
        <v>UI</v>
      </c>
      <c r="AR43" s="5" t="str">
        <f t="shared" ref="AR43" si="48">R43</f>
        <v>&lt;&gt;</v>
      </c>
      <c r="AS43" s="397">
        <f t="shared" ref="AS43" si="49">S43</f>
        <v>5.4640000000000004</v>
      </c>
      <c r="AT43" s="5" t="str">
        <f t="shared" ref="AT43" si="50">T43</f>
        <v>$U/UI</v>
      </c>
      <c r="AU43" s="5">
        <f t="shared" ref="AU43" si="51">U43</f>
        <v>79013.264800000004</v>
      </c>
      <c r="AV43" s="5" t="str">
        <f t="shared" ref="AV43" si="52">V43</f>
        <v>US$</v>
      </c>
      <c r="AW43" s="5"/>
    </row>
    <row r="44" spans="1:49" x14ac:dyDescent="0.25">
      <c r="A44" s="4"/>
      <c r="B44" s="4"/>
      <c r="C44" s="173">
        <v>3</v>
      </c>
      <c r="D44" s="5">
        <f t="shared" si="36"/>
        <v>10000</v>
      </c>
      <c r="E44" s="5">
        <f t="shared" si="44"/>
        <v>592.59948599999996</v>
      </c>
      <c r="F44" s="5">
        <f>Amort!AY8*$N$44</f>
        <v>203769.07089467192</v>
      </c>
      <c r="G44" s="5">
        <f t="shared" si="37"/>
        <v>214361.67038067192</v>
      </c>
      <c r="H44" s="5">
        <f>'A Económico'!F8</f>
        <v>820587.65923325415</v>
      </c>
      <c r="I44" s="127">
        <f t="shared" si="45"/>
        <v>1034949.3296139261</v>
      </c>
      <c r="J44" s="5"/>
      <c r="K44" s="5"/>
      <c r="L44" s="5"/>
      <c r="M44" s="5" t="s">
        <v>457</v>
      </c>
      <c r="N44" s="236">
        <v>1.4999999999999999E-2</v>
      </c>
      <c r="O44" s="5" t="s">
        <v>458</v>
      </c>
      <c r="Y44" s="95"/>
      <c r="AA44" s="4"/>
      <c r="AB44" s="4"/>
      <c r="AC44" s="173">
        <v>3</v>
      </c>
      <c r="AD44" s="5">
        <f t="shared" si="38"/>
        <v>10000</v>
      </c>
      <c r="AE44" s="5">
        <f t="shared" si="39"/>
        <v>592.59948599999996</v>
      </c>
      <c r="AF44" s="400">
        <f>Amort!BA109*Costos!$AN$44</f>
        <v>54154.628932671963</v>
      </c>
      <c r="AG44" s="400">
        <f t="shared" si="40"/>
        <v>64747.228418671963</v>
      </c>
      <c r="AH44" s="400">
        <f>'A Económico'!F26</f>
        <v>665376.99162375368</v>
      </c>
      <c r="AI44" s="420">
        <f t="shared" si="41"/>
        <v>730124.22004242567</v>
      </c>
      <c r="AJ44" s="5"/>
      <c r="AK44" s="5"/>
      <c r="AL44" s="5"/>
      <c r="AM44" s="5" t="str">
        <f t="shared" ref="AM44:AM48" si="53">M44</f>
        <v>IP</v>
      </c>
      <c r="AN44" s="55">
        <f t="shared" si="42"/>
        <v>1.4999999999999999E-2</v>
      </c>
      <c r="AO44" s="5" t="str">
        <f t="shared" si="43"/>
        <v>Patrimonio de la Empresa</v>
      </c>
      <c r="AP44" s="5"/>
      <c r="AQ44" s="5"/>
      <c r="AR44" s="5"/>
      <c r="AS44" s="5"/>
      <c r="AT44" s="5"/>
      <c r="AU44" s="5"/>
      <c r="AV44" s="5"/>
      <c r="AW44" s="5"/>
    </row>
    <row r="45" spans="1:49" x14ac:dyDescent="0.25">
      <c r="A45" s="4"/>
      <c r="B45" s="4"/>
      <c r="C45" s="173">
        <v>4</v>
      </c>
      <c r="D45" s="5">
        <f t="shared" si="36"/>
        <v>10000</v>
      </c>
      <c r="E45" s="5">
        <f t="shared" si="44"/>
        <v>592.59948599999996</v>
      </c>
      <c r="F45" s="5">
        <f>Amort!AY9*$N$44</f>
        <v>182380.85455194331</v>
      </c>
      <c r="G45" s="5">
        <f t="shared" si="37"/>
        <v>192973.4540379433</v>
      </c>
      <c r="H45" s="5">
        <f>'A Económico'!F9</f>
        <v>1002917.0680209936</v>
      </c>
      <c r="I45" s="127">
        <f t="shared" si="45"/>
        <v>1195890.522058937</v>
      </c>
      <c r="J45" s="5"/>
      <c r="K45" s="5"/>
      <c r="L45" s="5"/>
      <c r="M45" s="5"/>
      <c r="N45" s="5"/>
      <c r="O45" s="5"/>
      <c r="Y45" s="95"/>
      <c r="AA45" s="4"/>
      <c r="AB45" s="4"/>
      <c r="AC45" s="173">
        <v>4</v>
      </c>
      <c r="AD45" s="5">
        <f t="shared" si="38"/>
        <v>10000</v>
      </c>
      <c r="AE45" s="5">
        <f t="shared" si="39"/>
        <v>592.59948599999996</v>
      </c>
      <c r="AF45" s="400">
        <f>Amort!BA110*Costos!$AN$44</f>
        <v>50101.697618943334</v>
      </c>
      <c r="AG45" s="400">
        <f t="shared" si="40"/>
        <v>60694.297104943333</v>
      </c>
      <c r="AH45" s="400">
        <f>'A Económico'!F27</f>
        <v>862894.29652924323</v>
      </c>
      <c r="AI45" s="420">
        <f t="shared" si="41"/>
        <v>923588.59363418655</v>
      </c>
      <c r="AJ45" s="5"/>
      <c r="AK45" s="5"/>
      <c r="AL45" s="5"/>
      <c r="AM45" s="5"/>
      <c r="AN45" s="5"/>
      <c r="AO45" s="5"/>
      <c r="AP45" s="5"/>
      <c r="AQ45" s="5"/>
      <c r="AR45" s="5"/>
      <c r="AS45" s="5"/>
      <c r="AT45" s="5"/>
      <c r="AU45" s="5"/>
      <c r="AV45" s="5"/>
      <c r="AW45" s="5"/>
    </row>
    <row r="46" spans="1:49" x14ac:dyDescent="0.25">
      <c r="A46" s="4"/>
      <c r="B46" s="4"/>
      <c r="C46" s="173">
        <v>5</v>
      </c>
      <c r="D46" s="5">
        <f t="shared" si="36"/>
        <v>10000</v>
      </c>
      <c r="E46" s="5">
        <f t="shared" si="44"/>
        <v>592.59948599999996</v>
      </c>
      <c r="F46" s="5">
        <f>Amort!AY10*$N$44</f>
        <v>159124.91439914386</v>
      </c>
      <c r="G46" s="5">
        <f t="shared" si="37"/>
        <v>169717.51388514385</v>
      </c>
      <c r="H46" s="7">
        <f>'A Económico'!F10</f>
        <v>929991.78227244085</v>
      </c>
      <c r="I46" s="127">
        <f t="shared" si="45"/>
        <v>1099709.2961575848</v>
      </c>
      <c r="J46" s="5"/>
      <c r="K46" s="5"/>
      <c r="L46" s="5"/>
      <c r="M46" s="5" t="s">
        <v>465</v>
      </c>
      <c r="N46" s="237">
        <v>0.25</v>
      </c>
      <c r="O46" s="5"/>
      <c r="Y46" s="95"/>
      <c r="AA46" s="4"/>
      <c r="AB46" s="4"/>
      <c r="AC46" s="173">
        <v>5</v>
      </c>
      <c r="AD46" s="5">
        <f t="shared" si="38"/>
        <v>10000</v>
      </c>
      <c r="AE46" s="5">
        <f t="shared" si="39"/>
        <v>592.59948599999996</v>
      </c>
      <c r="AF46" s="400">
        <f>Amort!BA111*Costos!$AN$44</f>
        <v>44181.042495143884</v>
      </c>
      <c r="AG46" s="400">
        <f t="shared" si="40"/>
        <v>54773.641981143883</v>
      </c>
      <c r="AH46" s="400">
        <f>'A Económico'!F28</f>
        <v>805156.90689844079</v>
      </c>
      <c r="AI46" s="420">
        <f t="shared" si="41"/>
        <v>859930.54887958465</v>
      </c>
      <c r="AJ46" s="5"/>
      <c r="AK46" s="5"/>
      <c r="AL46" s="5"/>
      <c r="AM46" s="5" t="str">
        <f t="shared" si="53"/>
        <v>IRAE</v>
      </c>
      <c r="AN46" s="54">
        <f t="shared" si="42"/>
        <v>0.25</v>
      </c>
      <c r="AO46" s="5"/>
      <c r="AP46" s="5"/>
      <c r="AQ46" s="5"/>
      <c r="AR46" s="5"/>
      <c r="AS46" s="5"/>
      <c r="AT46" s="5"/>
      <c r="AU46" s="5"/>
      <c r="AV46" s="5"/>
      <c r="AW46" s="5"/>
    </row>
    <row r="47" spans="1:49" x14ac:dyDescent="0.25">
      <c r="A47" s="4"/>
      <c r="B47" s="4"/>
      <c r="C47" s="173">
        <v>6</v>
      </c>
      <c r="D47" s="5">
        <f t="shared" si="36"/>
        <v>10000</v>
      </c>
      <c r="E47" s="5">
        <f t="shared" si="44"/>
        <v>592.59948599999996</v>
      </c>
      <c r="F47" s="5">
        <f>Amort!AY11*$N$44</f>
        <v>132684.24421708664</v>
      </c>
      <c r="G47" s="5">
        <f t="shared" si="37"/>
        <v>143276.84370308663</v>
      </c>
      <c r="H47" s="5">
        <f>'A Económico'!F11</f>
        <v>1144138.5696866794</v>
      </c>
      <c r="I47" s="127">
        <f t="shared" si="45"/>
        <v>1287415.4133897661</v>
      </c>
      <c r="J47" s="5"/>
      <c r="K47" s="5"/>
      <c r="L47" s="5"/>
      <c r="M47" s="5"/>
      <c r="N47" s="5"/>
      <c r="O47" s="5"/>
      <c r="Y47" s="95"/>
      <c r="AA47" s="4"/>
      <c r="AB47" s="4"/>
      <c r="AC47" s="173">
        <v>6</v>
      </c>
      <c r="AD47" s="5">
        <f t="shared" si="38"/>
        <v>10000</v>
      </c>
      <c r="AE47" s="5">
        <f t="shared" si="39"/>
        <v>592.59948599999996</v>
      </c>
      <c r="AF47" s="400">
        <f>Amort!BA112*Costos!$AN$44</f>
        <v>35075.657342086663</v>
      </c>
      <c r="AG47" s="400">
        <f t="shared" si="40"/>
        <v>45668.256828086662</v>
      </c>
      <c r="AH47" s="400">
        <f>'A Económico'!F29</f>
        <v>1070932.1295304294</v>
      </c>
      <c r="AI47" s="420">
        <f t="shared" si="41"/>
        <v>1116600.3863585161</v>
      </c>
      <c r="AJ47" s="5"/>
      <c r="AK47" s="5"/>
      <c r="AL47" s="5"/>
      <c r="AM47" s="5"/>
      <c r="AN47" s="5"/>
      <c r="AO47" s="5"/>
      <c r="AP47" s="5"/>
      <c r="AQ47" s="5"/>
      <c r="AR47" s="5"/>
      <c r="AS47" s="5"/>
      <c r="AT47" s="5"/>
      <c r="AU47" s="5"/>
      <c r="AV47" s="5"/>
      <c r="AW47" s="5"/>
    </row>
    <row r="48" spans="1:49" x14ac:dyDescent="0.25">
      <c r="A48" s="4"/>
      <c r="B48" s="4"/>
      <c r="C48" s="173">
        <v>7</v>
      </c>
      <c r="D48" s="5">
        <f t="shared" si="36"/>
        <v>10000</v>
      </c>
      <c r="E48" s="5">
        <f t="shared" si="44"/>
        <v>592.59948599999996</v>
      </c>
      <c r="F48" s="5">
        <f>Amort!AY12*$N$44</f>
        <v>126145.08062302943</v>
      </c>
      <c r="G48" s="5">
        <f t="shared" si="37"/>
        <v>136737.68010902943</v>
      </c>
      <c r="H48" s="5">
        <f>'A Económico'!F12</f>
        <v>1045015.4546839178</v>
      </c>
      <c r="I48" s="127">
        <f t="shared" si="45"/>
        <v>1181753.1347929472</v>
      </c>
      <c r="J48" s="5"/>
      <c r="K48" s="5"/>
      <c r="L48" s="5"/>
      <c r="M48" s="5" t="s">
        <v>739</v>
      </c>
      <c r="N48" s="5"/>
      <c r="O48" s="160">
        <f>10000</f>
        <v>10000</v>
      </c>
      <c r="P48" t="s">
        <v>6</v>
      </c>
      <c r="Y48" s="95"/>
      <c r="AA48" s="4"/>
      <c r="AB48" s="4"/>
      <c r="AC48" s="173">
        <v>7</v>
      </c>
      <c r="AD48" s="5">
        <f t="shared" si="38"/>
        <v>10000</v>
      </c>
      <c r="AE48" s="5">
        <f t="shared" si="39"/>
        <v>592.59948599999996</v>
      </c>
      <c r="AF48" s="400">
        <f>Amort!BA113*Costos!$AN$44</f>
        <v>48058.211123029461</v>
      </c>
      <c r="AG48" s="400">
        <f>SUM(AD48:AF48)</f>
        <v>58650.81060902946</v>
      </c>
      <c r="AH48" s="400">
        <f>'A Económico'!F30</f>
        <v>986450.30255891802</v>
      </c>
      <c r="AI48" s="420">
        <f t="shared" si="41"/>
        <v>1045101.1131679475</v>
      </c>
      <c r="AJ48" s="5"/>
      <c r="AK48" s="5"/>
      <c r="AL48" s="5"/>
      <c r="AM48" s="5" t="str">
        <f t="shared" si="53"/>
        <v>Tasas municipales</v>
      </c>
      <c r="AN48" s="5">
        <f t="shared" si="42"/>
        <v>0</v>
      </c>
      <c r="AO48" s="5">
        <f t="shared" si="43"/>
        <v>10000</v>
      </c>
      <c r="AP48" s="5" t="str">
        <f t="shared" si="46"/>
        <v>US$</v>
      </c>
      <c r="AQ48" s="5"/>
      <c r="AR48" s="5"/>
      <c r="AS48" s="5"/>
      <c r="AT48" s="5"/>
      <c r="AU48" s="5"/>
      <c r="AV48" s="5"/>
      <c r="AW48" s="5"/>
    </row>
    <row r="49" spans="1:47" x14ac:dyDescent="0.25">
      <c r="A49" s="4"/>
      <c r="B49" s="4"/>
      <c r="C49" s="173">
        <v>8</v>
      </c>
      <c r="D49" s="5">
        <f t="shared" si="36"/>
        <v>10000</v>
      </c>
      <c r="E49" s="5">
        <f t="shared" si="44"/>
        <v>592.59948599999996</v>
      </c>
      <c r="F49" s="5">
        <f>Amort!AY13*$N$44</f>
        <v>115909.11000177221</v>
      </c>
      <c r="G49" s="5">
        <f t="shared" si="37"/>
        <v>126501.7094877722</v>
      </c>
      <c r="H49" s="5">
        <f>'A Económico'!F13</f>
        <v>972775.65054128971</v>
      </c>
      <c r="I49" s="127">
        <f t="shared" si="45"/>
        <v>1099277.3600290618</v>
      </c>
      <c r="J49" s="5"/>
      <c r="K49" s="5"/>
      <c r="L49" s="5"/>
      <c r="M49" s="5"/>
      <c r="N49" s="5"/>
      <c r="O49" s="5"/>
      <c r="Y49" s="95"/>
      <c r="AA49" s="4"/>
      <c r="AB49" s="4"/>
      <c r="AC49" s="173">
        <v>8</v>
      </c>
      <c r="AD49" s="5">
        <f t="shared" si="38"/>
        <v>10000</v>
      </c>
      <c r="AE49" s="5">
        <f t="shared" si="39"/>
        <v>592.59948599999996</v>
      </c>
      <c r="AF49" s="400">
        <f>Amort!BA114*Costos!$AN$44</f>
        <v>57343.957876772249</v>
      </c>
      <c r="AG49" s="400">
        <f t="shared" si="40"/>
        <v>67936.557362772248</v>
      </c>
      <c r="AH49" s="400">
        <f>'A Económico'!F31</f>
        <v>928851.78644753946</v>
      </c>
      <c r="AI49" s="420">
        <f t="shared" si="41"/>
        <v>996788.34381031175</v>
      </c>
      <c r="AJ49" s="5"/>
      <c r="AK49" s="5"/>
      <c r="AL49" s="5"/>
      <c r="AM49" s="5"/>
      <c r="AN49" s="5"/>
      <c r="AO49" s="5"/>
    </row>
    <row r="50" spans="1:47" x14ac:dyDescent="0.25">
      <c r="A50" s="4"/>
      <c r="B50" s="4"/>
      <c r="C50" s="173">
        <v>9</v>
      </c>
      <c r="D50" s="5">
        <f t="shared" si="36"/>
        <v>10000</v>
      </c>
      <c r="E50" s="5">
        <f t="shared" si="44"/>
        <v>592.59948599999996</v>
      </c>
      <c r="F50" s="5">
        <f>Amort!AY14*$N$44</f>
        <v>105673.13938051499</v>
      </c>
      <c r="G50" s="5">
        <f t="shared" si="37"/>
        <v>116265.73886651499</v>
      </c>
      <c r="H50" s="5">
        <f>'A Económico'!F14</f>
        <v>900535.84639866138</v>
      </c>
      <c r="I50" s="127">
        <f t="shared" si="45"/>
        <v>1016801.5852651764</v>
      </c>
      <c r="J50" s="5"/>
      <c r="K50" s="5"/>
      <c r="L50" s="5"/>
      <c r="M50" s="5"/>
      <c r="N50" s="5"/>
      <c r="O50" s="5"/>
      <c r="Y50" s="95"/>
      <c r="AA50" s="4"/>
      <c r="AB50" s="4"/>
      <c r="AC50" s="173">
        <v>9</v>
      </c>
      <c r="AD50" s="5">
        <f t="shared" si="38"/>
        <v>10000</v>
      </c>
      <c r="AE50" s="5">
        <f t="shared" si="39"/>
        <v>592.59948599999996</v>
      </c>
      <c r="AF50" s="400">
        <f>Amort!BA115*Costos!$AN$44</f>
        <v>66629.704630515029</v>
      </c>
      <c r="AG50" s="400">
        <f t="shared" si="40"/>
        <v>77222.304116515035</v>
      </c>
      <c r="AH50" s="400">
        <f>'A Económico'!F32</f>
        <v>871253.27033616137</v>
      </c>
      <c r="AI50" s="420">
        <f t="shared" si="41"/>
        <v>948475.57445267634</v>
      </c>
      <c r="AJ50" s="5"/>
      <c r="AK50" s="5"/>
      <c r="AL50" s="5"/>
      <c r="AM50" s="5"/>
      <c r="AN50" s="5"/>
      <c r="AO50" s="5"/>
    </row>
    <row r="51" spans="1:47" ht="15.75" thickBot="1" x14ac:dyDescent="0.3">
      <c r="A51" s="4"/>
      <c r="B51" s="4"/>
      <c r="C51" s="174">
        <v>10</v>
      </c>
      <c r="D51" s="62">
        <f t="shared" si="36"/>
        <v>10000</v>
      </c>
      <c r="E51" s="62">
        <f t="shared" si="44"/>
        <v>592.59948599999996</v>
      </c>
      <c r="F51" s="62">
        <f>Amort!AY15*$N$44</f>
        <v>95437.168759257765</v>
      </c>
      <c r="G51" s="62">
        <f t="shared" si="37"/>
        <v>106029.76824525776</v>
      </c>
      <c r="H51" s="62">
        <f>'A Económico'!F15</f>
        <v>828296.04225603305</v>
      </c>
      <c r="I51" s="130">
        <f t="shared" si="45"/>
        <v>934325.81050129083</v>
      </c>
      <c r="J51" s="5"/>
      <c r="K51" s="5"/>
      <c r="L51" s="5"/>
      <c r="M51" s="5"/>
      <c r="N51" s="5"/>
      <c r="O51" s="5"/>
      <c r="Y51" s="95"/>
      <c r="AA51" s="4"/>
      <c r="AB51" s="4"/>
      <c r="AC51" s="174">
        <v>10</v>
      </c>
      <c r="AD51" s="62">
        <f t="shared" si="38"/>
        <v>10000</v>
      </c>
      <c r="AE51" s="62">
        <f t="shared" si="39"/>
        <v>592.59948599999996</v>
      </c>
      <c r="AF51" s="401">
        <f>Amort!BA116*Costos!$AN$44</f>
        <v>75915.451384257816</v>
      </c>
      <c r="AG51" s="401">
        <f t="shared" si="40"/>
        <v>86508.050870257808</v>
      </c>
      <c r="AH51" s="401">
        <f>'A Económico'!F33</f>
        <v>813654.75422478281</v>
      </c>
      <c r="AI51" s="421">
        <f t="shared" si="41"/>
        <v>900162.80509504059</v>
      </c>
      <c r="AJ51" s="5"/>
      <c r="AK51" s="5"/>
      <c r="AL51" s="5"/>
      <c r="AM51" s="5"/>
      <c r="AN51" s="5"/>
      <c r="AO51" s="5"/>
    </row>
    <row r="52" spans="1:47" ht="15.75" thickBot="1" x14ac:dyDescent="0.3">
      <c r="A52" s="4"/>
      <c r="B52" s="4"/>
      <c r="C52" s="157" t="s">
        <v>169</v>
      </c>
      <c r="D52" s="60">
        <f>SUM(D41:D51)</f>
        <v>110000</v>
      </c>
      <c r="E52" s="60">
        <f>SUM(E41:E51)</f>
        <v>7111.1938319999999</v>
      </c>
      <c r="F52" s="60">
        <f>SUM(F41:F51)</f>
        <v>1605856.86461775</v>
      </c>
      <c r="G52" s="60">
        <f>SUM(G41:G51)</f>
        <v>1722968.0584497496</v>
      </c>
      <c r="H52" s="60">
        <f t="shared" ref="H52:I52" si="54">SUM(H41:H51)</f>
        <v>8665443.3376066927</v>
      </c>
      <c r="I52" s="114">
        <f t="shared" si="54"/>
        <v>10388411.396056442</v>
      </c>
      <c r="J52" s="7"/>
      <c r="K52" s="7"/>
      <c r="L52" s="7"/>
      <c r="M52" s="7"/>
      <c r="N52" s="7"/>
      <c r="O52" s="7"/>
      <c r="Y52" s="95"/>
      <c r="AA52" s="4"/>
      <c r="AB52" s="4"/>
      <c r="AC52" s="157" t="s">
        <v>169</v>
      </c>
      <c r="AD52" s="60">
        <f>SUM(AD41:AD51)</f>
        <v>110000</v>
      </c>
      <c r="AE52" s="60">
        <f>SUM(AE41:AE51)</f>
        <v>7111.1938319999999</v>
      </c>
      <c r="AF52" s="402">
        <f>SUM(AF41:AF51)</f>
        <v>623524.04630775028</v>
      </c>
      <c r="AG52" s="402">
        <f>SUM(AG41:AG51)</f>
        <v>740635.24013975018</v>
      </c>
      <c r="AH52" s="402">
        <f t="shared" ref="AH52:AI52" si="55">SUM(AH41:AH51)</f>
        <v>7713694.5431841919</v>
      </c>
      <c r="AI52" s="422">
        <f t="shared" si="55"/>
        <v>8454329.7833239418</v>
      </c>
      <c r="AJ52" s="7"/>
      <c r="AK52" s="7"/>
      <c r="AL52" s="7"/>
      <c r="AM52" s="7"/>
      <c r="AN52" s="7"/>
      <c r="AO52" s="7"/>
    </row>
    <row r="53" spans="1:47" s="61" customFormat="1" ht="15.75" thickBot="1" x14ac:dyDescent="0.3">
      <c r="Y53" s="99"/>
    </row>
    <row r="54" spans="1:47" x14ac:dyDescent="0.25">
      <c r="Y54" s="95"/>
    </row>
    <row r="55" spans="1:47" x14ac:dyDescent="0.25">
      <c r="A55" s="56" t="s">
        <v>469</v>
      </c>
      <c r="B55" s="56"/>
      <c r="C55" s="5"/>
      <c r="D55" s="5"/>
      <c r="E55" s="5"/>
      <c r="G55" s="4"/>
      <c r="H55" s="4"/>
      <c r="I55" s="4"/>
      <c r="J55" s="4"/>
      <c r="K55" s="4"/>
      <c r="L55" s="4"/>
      <c r="M55" s="4"/>
      <c r="N55" s="4"/>
      <c r="Y55" s="95"/>
      <c r="AA55" s="56" t="s">
        <v>469</v>
      </c>
      <c r="AB55" s="56"/>
      <c r="AC55" s="5"/>
      <c r="AD55" s="5"/>
      <c r="AE55" s="5"/>
      <c r="AG55" s="4"/>
      <c r="AH55" s="4"/>
      <c r="AI55" s="4"/>
      <c r="AJ55" s="4"/>
      <c r="AK55" s="4"/>
      <c r="AL55" s="4"/>
      <c r="AM55" s="4"/>
      <c r="AN55" s="4"/>
    </row>
    <row r="56" spans="1:47" ht="15.75" thickBot="1" x14ac:dyDescent="0.3">
      <c r="A56" s="4"/>
      <c r="B56" s="4"/>
      <c r="C56" s="5"/>
      <c r="D56" s="5"/>
      <c r="E56" s="5"/>
      <c r="G56" s="4"/>
      <c r="H56" s="4"/>
      <c r="I56" s="4"/>
      <c r="J56" s="4"/>
      <c r="K56" s="4"/>
      <c r="L56" s="4"/>
      <c r="M56" s="4"/>
      <c r="N56" s="4"/>
      <c r="Y56" s="95"/>
      <c r="AA56" s="4"/>
      <c r="AB56" s="4"/>
      <c r="AC56" s="5"/>
      <c r="AD56" s="5"/>
      <c r="AE56" s="5"/>
      <c r="AG56" s="4"/>
      <c r="AH56" s="4"/>
      <c r="AI56" s="4"/>
      <c r="AJ56" s="4"/>
      <c r="AK56" s="4"/>
      <c r="AL56" s="4"/>
      <c r="AM56" s="4"/>
      <c r="AN56" s="4"/>
    </row>
    <row r="57" spans="1:47" ht="60.75" thickBot="1" x14ac:dyDescent="0.3">
      <c r="A57" s="6"/>
      <c r="B57" s="6"/>
      <c r="C57" s="51" t="s">
        <v>415</v>
      </c>
      <c r="D57" s="52" t="s">
        <v>573</v>
      </c>
      <c r="E57" s="52" t="s">
        <v>574</v>
      </c>
      <c r="F57" s="52" t="s">
        <v>575</v>
      </c>
      <c r="G57" s="52" t="s">
        <v>576</v>
      </c>
      <c r="H57" s="52" t="s">
        <v>471</v>
      </c>
      <c r="I57" s="101" t="s">
        <v>518</v>
      </c>
      <c r="J57" s="6"/>
      <c r="K57" s="6"/>
      <c r="L57" s="6"/>
      <c r="M57" s="6"/>
      <c r="N57" s="6"/>
      <c r="O57" s="6"/>
      <c r="Y57" s="95"/>
      <c r="AA57" s="6"/>
      <c r="AB57" s="6"/>
      <c r="AC57" s="51" t="s">
        <v>415</v>
      </c>
      <c r="AD57" s="398" t="s">
        <v>573</v>
      </c>
      <c r="AE57" s="398" t="s">
        <v>574</v>
      </c>
      <c r="AF57" s="398" t="s">
        <v>575</v>
      </c>
      <c r="AG57" s="398" t="s">
        <v>576</v>
      </c>
      <c r="AH57" s="398" t="s">
        <v>471</v>
      </c>
      <c r="AI57" s="418" t="s">
        <v>518</v>
      </c>
      <c r="AJ57" s="6"/>
      <c r="AK57" s="6"/>
      <c r="AL57" s="6"/>
      <c r="AM57" s="6"/>
      <c r="AN57" s="6"/>
      <c r="AO57" s="6"/>
    </row>
    <row r="58" spans="1:47" x14ac:dyDescent="0.25">
      <c r="A58" s="4"/>
      <c r="B58" s="4"/>
      <c r="C58" s="170">
        <v>0</v>
      </c>
      <c r="D58" s="171">
        <f>P7</f>
        <v>0</v>
      </c>
      <c r="E58" s="171">
        <f>G24</f>
        <v>0</v>
      </c>
      <c r="F58" s="171">
        <f>G41</f>
        <v>11185.198972</v>
      </c>
      <c r="G58" s="171">
        <f>SUM(D58:F58)</f>
        <v>11185.198972</v>
      </c>
      <c r="H58" s="171">
        <f>Ingresos!D8</f>
        <v>0</v>
      </c>
      <c r="I58" s="172"/>
      <c r="J58" s="5"/>
      <c r="K58" s="5"/>
      <c r="L58" s="5"/>
      <c r="M58" s="5"/>
      <c r="N58" s="55"/>
      <c r="O58" s="5"/>
      <c r="Y58" s="95"/>
      <c r="AA58" s="4"/>
      <c r="AB58" s="4"/>
      <c r="AC58" s="170">
        <v>0</v>
      </c>
      <c r="AD58" s="399">
        <f>AP7</f>
        <v>0</v>
      </c>
      <c r="AE58" s="399">
        <f t="shared" ref="AE58:AE68" si="56">AH24</f>
        <v>0</v>
      </c>
      <c r="AF58" s="399">
        <f>AG41</f>
        <v>11185.198972</v>
      </c>
      <c r="AG58" s="399">
        <f>SUM(AD58:AF58)</f>
        <v>11185.198972</v>
      </c>
      <c r="AH58" s="399">
        <f>Ingresos!D8</f>
        <v>0</v>
      </c>
      <c r="AI58" s="419"/>
      <c r="AJ58" s="5"/>
      <c r="AK58" s="5"/>
      <c r="AL58" s="5"/>
      <c r="AM58" s="5"/>
      <c r="AN58" s="55"/>
      <c r="AO58" s="5"/>
    </row>
    <row r="59" spans="1:47" x14ac:dyDescent="0.25">
      <c r="A59" s="4"/>
      <c r="B59" s="4"/>
      <c r="C59" s="173">
        <v>1</v>
      </c>
      <c r="D59" s="5">
        <f t="shared" ref="D59:D68" si="57">P8</f>
        <v>6259104.2056894386</v>
      </c>
      <c r="E59" s="5">
        <f t="shared" ref="E59:E68" si="58">G25</f>
        <v>826143.75</v>
      </c>
      <c r="F59" s="5">
        <f t="shared" ref="F59:F68" si="59">G42</f>
        <v>265092.8280389292</v>
      </c>
      <c r="G59" s="5">
        <f t="shared" ref="G59:G68" si="60">SUM(D59:F59)</f>
        <v>7350340.7837283676</v>
      </c>
      <c r="H59" s="5">
        <f>Ingresos!D9</f>
        <v>8000</v>
      </c>
      <c r="I59" s="127">
        <f>G59/H59</f>
        <v>918.79259796604595</v>
      </c>
      <c r="J59" s="5"/>
      <c r="K59" s="5"/>
      <c r="L59" s="5"/>
      <c r="M59" s="5"/>
      <c r="N59" s="55"/>
      <c r="O59" s="5"/>
      <c r="Y59" s="95"/>
      <c r="AA59" s="4"/>
      <c r="AB59" s="4"/>
      <c r="AC59" s="173">
        <v>1</v>
      </c>
      <c r="AD59" s="400">
        <f t="shared" ref="AD59:AD68" si="61">AP8</f>
        <v>6404866.3620894384</v>
      </c>
      <c r="AE59" s="400">
        <f t="shared" si="56"/>
        <v>1450838.706</v>
      </c>
      <c r="AF59" s="400">
        <f t="shared" ref="AF59:AF68" si="62">AG42</f>
        <v>119851.2507689292</v>
      </c>
      <c r="AG59" s="400">
        <f t="shared" ref="AG59:AG67" si="63">SUM(AD59:AF59)</f>
        <v>7975556.3188583674</v>
      </c>
      <c r="AH59" s="400">
        <f>Ingresos!D9</f>
        <v>8000</v>
      </c>
      <c r="AI59" s="420">
        <f>AG59/AH59</f>
        <v>996.94453985729592</v>
      </c>
      <c r="AJ59" s="5"/>
      <c r="AK59" s="5"/>
      <c r="AL59" s="5"/>
      <c r="AM59" s="5"/>
      <c r="AN59" s="55"/>
      <c r="AO59" s="5"/>
    </row>
    <row r="60" spans="1:47" x14ac:dyDescent="0.25">
      <c r="A60" s="4"/>
      <c r="B60" s="4"/>
      <c r="C60" s="173">
        <v>2</v>
      </c>
      <c r="D60" s="5">
        <f t="shared" si="57"/>
        <v>6622948.7554945424</v>
      </c>
      <c r="E60" s="5">
        <f t="shared" si="58"/>
        <v>826143.75</v>
      </c>
      <c r="F60" s="5">
        <f t="shared" si="59"/>
        <v>240825.65272340053</v>
      </c>
      <c r="G60" s="5">
        <f t="shared" si="60"/>
        <v>7689918.1582179433</v>
      </c>
      <c r="H60" s="5">
        <f>Ingresos!D10</f>
        <v>9000</v>
      </c>
      <c r="I60" s="127">
        <f t="shared" ref="I60:I69" si="64">G60/H60</f>
        <v>854.4353509131048</v>
      </c>
      <c r="J60" s="5"/>
      <c r="K60" s="5"/>
      <c r="L60" s="5"/>
      <c r="M60" s="5"/>
      <c r="O60" s="15"/>
      <c r="P60" s="5"/>
      <c r="U60" s="5"/>
      <c r="Y60" s="95"/>
      <c r="AA60" s="4"/>
      <c r="AB60" s="4"/>
      <c r="AC60" s="173">
        <v>2</v>
      </c>
      <c r="AD60" s="400">
        <f t="shared" si="61"/>
        <v>6768710.9118945422</v>
      </c>
      <c r="AE60" s="400">
        <f t="shared" si="56"/>
        <v>1450838.706</v>
      </c>
      <c r="AF60" s="400">
        <f t="shared" si="62"/>
        <v>93397.643107400567</v>
      </c>
      <c r="AG60" s="400">
        <f t="shared" si="63"/>
        <v>8312947.2610019427</v>
      </c>
      <c r="AH60" s="400">
        <f>Ingresos!D10</f>
        <v>9000</v>
      </c>
      <c r="AI60" s="420">
        <f t="shared" ref="AI60:AI69" si="65">AG60/AH60</f>
        <v>923.66080677799368</v>
      </c>
      <c r="AJ60" s="5"/>
      <c r="AK60" s="5"/>
      <c r="AL60" s="5"/>
      <c r="AM60" s="5"/>
      <c r="AO60" s="15"/>
      <c r="AP60" s="5"/>
      <c r="AU60" s="5"/>
    </row>
    <row r="61" spans="1:47" x14ac:dyDescent="0.25">
      <c r="A61" s="4"/>
      <c r="B61" s="4"/>
      <c r="C61" s="173">
        <v>3</v>
      </c>
      <c r="D61" s="5">
        <f t="shared" si="57"/>
        <v>6927143.9426863119</v>
      </c>
      <c r="E61" s="5">
        <f t="shared" si="58"/>
        <v>826143.75</v>
      </c>
      <c r="F61" s="5">
        <f t="shared" si="59"/>
        <v>214361.67038067192</v>
      </c>
      <c r="G61" s="5">
        <f t="shared" si="60"/>
        <v>7967649.3630669834</v>
      </c>
      <c r="H61" s="5">
        <f>Ingresos!D11</f>
        <v>10000</v>
      </c>
      <c r="I61" s="127">
        <f t="shared" si="64"/>
        <v>796.76493630669836</v>
      </c>
      <c r="J61" s="5"/>
      <c r="K61" s="5"/>
      <c r="L61" s="5"/>
      <c r="M61" s="5"/>
      <c r="N61" s="55"/>
      <c r="O61" s="5"/>
      <c r="Y61" s="95"/>
      <c r="AA61" s="4"/>
      <c r="AB61" s="4"/>
      <c r="AC61" s="173">
        <v>3</v>
      </c>
      <c r="AD61" s="400">
        <f t="shared" si="61"/>
        <v>7072906.0990863126</v>
      </c>
      <c r="AE61" s="400">
        <f t="shared" si="56"/>
        <v>1450838.706</v>
      </c>
      <c r="AF61" s="400">
        <f t="shared" si="62"/>
        <v>64747.228418671963</v>
      </c>
      <c r="AG61" s="400">
        <f t="shared" si="63"/>
        <v>8588492.0335049853</v>
      </c>
      <c r="AH61" s="400">
        <f>Ingresos!D11</f>
        <v>10000</v>
      </c>
      <c r="AI61" s="420">
        <f t="shared" si="65"/>
        <v>858.84920335049856</v>
      </c>
      <c r="AJ61" s="5"/>
      <c r="AK61" s="5"/>
      <c r="AL61" s="5"/>
      <c r="AM61" s="5"/>
      <c r="AN61" s="55"/>
      <c r="AO61" s="5"/>
    </row>
    <row r="62" spans="1:47" x14ac:dyDescent="0.25">
      <c r="A62" s="4"/>
      <c r="B62" s="4"/>
      <c r="C62" s="173">
        <v>4</v>
      </c>
      <c r="D62" s="5">
        <f t="shared" si="57"/>
        <v>7344214.5238780826</v>
      </c>
      <c r="E62" s="5">
        <f t="shared" si="58"/>
        <v>826143.75</v>
      </c>
      <c r="F62" s="5">
        <f t="shared" si="59"/>
        <v>192973.4540379433</v>
      </c>
      <c r="G62" s="5">
        <f t="shared" si="60"/>
        <v>8363331.7279160256</v>
      </c>
      <c r="H62" s="5">
        <f>Ingresos!D12</f>
        <v>11000</v>
      </c>
      <c r="I62" s="127">
        <f t="shared" si="64"/>
        <v>760.30288435600232</v>
      </c>
      <c r="J62" s="5"/>
      <c r="K62" s="5"/>
      <c r="L62" s="5"/>
      <c r="M62" s="5"/>
      <c r="N62" s="5"/>
      <c r="O62" s="5"/>
      <c r="Y62" s="95"/>
      <c r="AA62" s="4"/>
      <c r="AB62" s="4"/>
      <c r="AC62" s="173">
        <v>4</v>
      </c>
      <c r="AD62" s="400">
        <f t="shared" si="61"/>
        <v>7489976.6802780833</v>
      </c>
      <c r="AE62" s="400">
        <f t="shared" si="56"/>
        <v>1372751.8365</v>
      </c>
      <c r="AF62" s="400">
        <f t="shared" si="62"/>
        <v>60694.297104943333</v>
      </c>
      <c r="AG62" s="400">
        <f t="shared" si="63"/>
        <v>8923422.8138830271</v>
      </c>
      <c r="AH62" s="400">
        <f>Ingresos!D12</f>
        <v>11000</v>
      </c>
      <c r="AI62" s="420">
        <f t="shared" si="65"/>
        <v>811.22025580754791</v>
      </c>
      <c r="AJ62" s="5"/>
      <c r="AK62" s="5"/>
      <c r="AL62" s="5"/>
      <c r="AM62" s="5"/>
      <c r="AN62" s="5"/>
      <c r="AO62" s="5"/>
    </row>
    <row r="63" spans="1:47" x14ac:dyDescent="0.25">
      <c r="A63" s="4"/>
      <c r="B63" s="4"/>
      <c r="C63" s="173">
        <v>5</v>
      </c>
      <c r="D63" s="5">
        <f t="shared" si="57"/>
        <v>7659171.6070250925</v>
      </c>
      <c r="E63" s="5">
        <f t="shared" si="58"/>
        <v>826143.75</v>
      </c>
      <c r="F63" s="5">
        <f t="shared" si="59"/>
        <v>169717.51388514385</v>
      </c>
      <c r="G63" s="7">
        <f>SUM(D63:F63)</f>
        <v>8655032.8709102366</v>
      </c>
      <c r="H63" s="5">
        <f>Ingresos!D13</f>
        <v>11000</v>
      </c>
      <c r="I63" s="127">
        <f t="shared" si="64"/>
        <v>786.82117008274884</v>
      </c>
      <c r="J63" s="5"/>
      <c r="K63" s="5"/>
      <c r="L63" s="5"/>
      <c r="M63" s="5"/>
      <c r="N63" s="54"/>
      <c r="O63" s="5"/>
      <c r="Y63" s="95"/>
      <c r="AA63" s="4"/>
      <c r="AB63" s="4"/>
      <c r="AC63" s="173">
        <v>5</v>
      </c>
      <c r="AD63" s="400">
        <f t="shared" si="61"/>
        <v>7804933.7634250931</v>
      </c>
      <c r="AE63" s="400">
        <f t="shared" si="56"/>
        <v>1294664.9669999999</v>
      </c>
      <c r="AF63" s="400">
        <f t="shared" si="62"/>
        <v>54773.641981143883</v>
      </c>
      <c r="AG63" s="400">
        <f t="shared" si="63"/>
        <v>9154372.3724062368</v>
      </c>
      <c r="AH63" s="400">
        <f>Ingresos!D13</f>
        <v>11000</v>
      </c>
      <c r="AI63" s="420">
        <f t="shared" si="65"/>
        <v>832.21567021874876</v>
      </c>
      <c r="AJ63" s="5"/>
      <c r="AK63" s="5"/>
      <c r="AL63" s="5"/>
      <c r="AM63" s="5"/>
      <c r="AN63" s="54"/>
      <c r="AO63" s="5"/>
    </row>
    <row r="64" spans="1:47" x14ac:dyDescent="0.25">
      <c r="A64" s="4"/>
      <c r="B64" s="4"/>
      <c r="C64" s="173">
        <v>6</v>
      </c>
      <c r="D64" s="5">
        <f t="shared" si="57"/>
        <v>6829025.1275501959</v>
      </c>
      <c r="E64" s="5">
        <f t="shared" si="58"/>
        <v>826143.75</v>
      </c>
      <c r="F64" s="5">
        <f t="shared" si="59"/>
        <v>143276.84370308663</v>
      </c>
      <c r="G64" s="5">
        <f t="shared" si="60"/>
        <v>7798445.7212532824</v>
      </c>
      <c r="H64" s="5">
        <f>Ingresos!D14</f>
        <v>11000</v>
      </c>
      <c r="I64" s="127">
        <f t="shared" si="64"/>
        <v>708.94961102302568</v>
      </c>
      <c r="J64" s="5"/>
      <c r="K64" s="5"/>
      <c r="L64" s="5"/>
      <c r="M64" s="5"/>
      <c r="N64" s="5"/>
      <c r="O64" s="5"/>
      <c r="Y64" s="95"/>
      <c r="AA64" s="4"/>
      <c r="AB64" s="4"/>
      <c r="AC64" s="173">
        <v>6</v>
      </c>
      <c r="AD64" s="400">
        <f t="shared" si="61"/>
        <v>6829025.1275501959</v>
      </c>
      <c r="AE64" s="400">
        <f t="shared" si="56"/>
        <v>1216578.0974999999</v>
      </c>
      <c r="AF64" s="400">
        <f t="shared" si="62"/>
        <v>45668.256828086662</v>
      </c>
      <c r="AG64" s="400">
        <f t="shared" si="63"/>
        <v>8091271.4818782825</v>
      </c>
      <c r="AH64" s="400">
        <f>Ingresos!D14</f>
        <v>11000</v>
      </c>
      <c r="AI64" s="420">
        <f t="shared" si="65"/>
        <v>735.57013471620746</v>
      </c>
      <c r="AJ64" s="5"/>
      <c r="AK64" s="5"/>
      <c r="AL64" s="5"/>
      <c r="AM64" s="5"/>
      <c r="AN64" s="5"/>
      <c r="AO64" s="5"/>
    </row>
    <row r="65" spans="1:43" x14ac:dyDescent="0.25">
      <c r="A65" s="4"/>
      <c r="B65" s="4"/>
      <c r="C65" s="173">
        <v>7</v>
      </c>
      <c r="D65" s="5">
        <f t="shared" si="57"/>
        <v>7232056.7511552991</v>
      </c>
      <c r="E65" s="5">
        <f t="shared" si="58"/>
        <v>826143.75</v>
      </c>
      <c r="F65" s="5">
        <f t="shared" si="59"/>
        <v>136737.68010902943</v>
      </c>
      <c r="G65" s="5">
        <f t="shared" si="60"/>
        <v>8194938.1812643288</v>
      </c>
      <c r="H65" s="5">
        <f>Ingresos!D15</f>
        <v>11000</v>
      </c>
      <c r="I65" s="127">
        <f t="shared" si="64"/>
        <v>744.99438011493896</v>
      </c>
      <c r="J65" s="5"/>
      <c r="K65" s="5"/>
      <c r="L65" s="5"/>
      <c r="M65" s="5"/>
      <c r="N65" s="5"/>
      <c r="O65" s="5"/>
      <c r="Y65" s="95"/>
      <c r="AA65" s="4"/>
      <c r="AB65" s="4"/>
      <c r="AC65" s="173">
        <v>7</v>
      </c>
      <c r="AD65" s="400">
        <f t="shared" si="61"/>
        <v>7232056.7511552991</v>
      </c>
      <c r="AE65" s="400">
        <f t="shared" si="56"/>
        <v>1138491.2280000001</v>
      </c>
      <c r="AF65" s="400">
        <f t="shared" si="62"/>
        <v>58650.81060902946</v>
      </c>
      <c r="AG65" s="400">
        <f t="shared" si="63"/>
        <v>8429198.7897643279</v>
      </c>
      <c r="AH65" s="400">
        <f>Ingresos!D15</f>
        <v>11000</v>
      </c>
      <c r="AI65" s="420">
        <f t="shared" si="65"/>
        <v>766.29079906948436</v>
      </c>
      <c r="AJ65" s="5"/>
      <c r="AK65" s="5"/>
      <c r="AL65" s="5"/>
      <c r="AM65" s="5"/>
      <c r="AN65" s="5"/>
      <c r="AO65" s="5"/>
    </row>
    <row r="66" spans="1:43" x14ac:dyDescent="0.25">
      <c r="A66" s="4"/>
      <c r="B66" s="4"/>
      <c r="C66" s="173">
        <v>8</v>
      </c>
      <c r="D66" s="5">
        <f t="shared" si="57"/>
        <v>7531251.9383470695</v>
      </c>
      <c r="E66" s="5">
        <f t="shared" si="58"/>
        <v>826143.75</v>
      </c>
      <c r="F66" s="5">
        <f t="shared" si="59"/>
        <v>126501.7094877722</v>
      </c>
      <c r="G66" s="5">
        <f t="shared" si="60"/>
        <v>8483897.3978348412</v>
      </c>
      <c r="H66" s="5">
        <f>Ingresos!D16</f>
        <v>11000</v>
      </c>
      <c r="I66" s="127">
        <f t="shared" si="64"/>
        <v>771.26339980316743</v>
      </c>
      <c r="J66" s="5"/>
      <c r="K66" s="5"/>
      <c r="L66" s="5"/>
      <c r="M66" s="5"/>
      <c r="N66" s="5"/>
      <c r="O66" s="5"/>
      <c r="Y66" s="95"/>
      <c r="AA66" s="4"/>
      <c r="AB66" s="4"/>
      <c r="AC66" s="173">
        <v>8</v>
      </c>
      <c r="AD66" s="400">
        <f t="shared" si="61"/>
        <v>7531251.9383470695</v>
      </c>
      <c r="AE66" s="400">
        <f t="shared" si="56"/>
        <v>1060404.3585000001</v>
      </c>
      <c r="AF66" s="400">
        <f t="shared" si="62"/>
        <v>67936.557362772248</v>
      </c>
      <c r="AG66" s="400">
        <f t="shared" si="63"/>
        <v>8659592.8542098422</v>
      </c>
      <c r="AH66" s="400">
        <f>Ingresos!D16</f>
        <v>11000</v>
      </c>
      <c r="AI66" s="420">
        <f t="shared" si="65"/>
        <v>787.23571401907657</v>
      </c>
      <c r="AJ66" s="5"/>
      <c r="AK66" s="5"/>
      <c r="AL66" s="5"/>
      <c r="AM66" s="5"/>
      <c r="AN66" s="5"/>
      <c r="AO66" s="5"/>
    </row>
    <row r="67" spans="1:43" x14ac:dyDescent="0.25">
      <c r="A67" s="4"/>
      <c r="B67" s="4"/>
      <c r="C67" s="173">
        <v>9</v>
      </c>
      <c r="D67" s="5">
        <f t="shared" si="57"/>
        <v>7830447.125538839</v>
      </c>
      <c r="E67" s="5">
        <f t="shared" si="58"/>
        <v>826143.75</v>
      </c>
      <c r="F67" s="5">
        <f t="shared" si="59"/>
        <v>116265.73886651499</v>
      </c>
      <c r="G67" s="5">
        <f t="shared" si="60"/>
        <v>8772856.6144053545</v>
      </c>
      <c r="H67" s="5">
        <f>Ingresos!D17</f>
        <v>11000</v>
      </c>
      <c r="I67" s="127">
        <f t="shared" si="64"/>
        <v>797.5324194913959</v>
      </c>
      <c r="J67" s="5"/>
      <c r="K67" s="5"/>
      <c r="L67" s="5"/>
      <c r="M67" s="5"/>
      <c r="N67" s="5"/>
      <c r="O67" s="5"/>
      <c r="Y67" s="95"/>
      <c r="AA67" s="4"/>
      <c r="AB67" s="4"/>
      <c r="AC67" s="173">
        <v>9</v>
      </c>
      <c r="AD67" s="400">
        <f t="shared" si="61"/>
        <v>7830447.125538839</v>
      </c>
      <c r="AE67" s="400">
        <f t="shared" si="56"/>
        <v>982317.48899999994</v>
      </c>
      <c r="AF67" s="400">
        <f t="shared" si="62"/>
        <v>77222.304116515035</v>
      </c>
      <c r="AG67" s="400">
        <f t="shared" si="63"/>
        <v>8889986.9186553545</v>
      </c>
      <c r="AH67" s="400">
        <f>Ingresos!D17</f>
        <v>11000</v>
      </c>
      <c r="AI67" s="420">
        <f t="shared" si="65"/>
        <v>808.18062896866854</v>
      </c>
      <c r="AJ67" s="5"/>
      <c r="AK67" s="5"/>
      <c r="AL67" s="5"/>
      <c r="AM67" s="5"/>
      <c r="AN67" s="5"/>
      <c r="AO67" s="5"/>
    </row>
    <row r="68" spans="1:43" ht="15.75" thickBot="1" x14ac:dyDescent="0.3">
      <c r="A68" s="4"/>
      <c r="B68" s="4"/>
      <c r="C68" s="174">
        <v>10</v>
      </c>
      <c r="D68" s="62">
        <f t="shared" si="57"/>
        <v>8129642.3127306104</v>
      </c>
      <c r="E68" s="62">
        <f t="shared" si="58"/>
        <v>826143.75</v>
      </c>
      <c r="F68" s="62">
        <f t="shared" si="59"/>
        <v>106029.76824525776</v>
      </c>
      <c r="G68" s="62">
        <f t="shared" si="60"/>
        <v>9061815.8309758678</v>
      </c>
      <c r="H68" s="62">
        <f>Ingresos!D18</f>
        <v>11000</v>
      </c>
      <c r="I68" s="130">
        <f t="shared" si="64"/>
        <v>823.80143917962437</v>
      </c>
      <c r="J68" s="5"/>
      <c r="K68" s="5"/>
      <c r="L68" s="5"/>
      <c r="M68" s="5"/>
      <c r="N68" s="5"/>
      <c r="O68" s="5"/>
      <c r="Y68" s="95"/>
      <c r="AA68" s="4"/>
      <c r="AB68" s="4"/>
      <c r="AC68" s="174">
        <v>10</v>
      </c>
      <c r="AD68" s="401">
        <f t="shared" si="61"/>
        <v>8129642.3127306104</v>
      </c>
      <c r="AE68" s="401">
        <f t="shared" si="56"/>
        <v>904230.61950000003</v>
      </c>
      <c r="AF68" s="401">
        <f t="shared" si="62"/>
        <v>86508.050870257808</v>
      </c>
      <c r="AG68" s="401">
        <f>SUM(AD68:AF68)</f>
        <v>9120380.9831008688</v>
      </c>
      <c r="AH68" s="401">
        <f>Ingresos!D18</f>
        <v>11000</v>
      </c>
      <c r="AI68" s="421">
        <f>AG68/AH68</f>
        <v>829.12554391826075</v>
      </c>
      <c r="AJ68" s="5"/>
      <c r="AK68" s="5"/>
      <c r="AL68" s="5"/>
      <c r="AM68" s="5"/>
      <c r="AN68" s="5"/>
      <c r="AO68" s="5"/>
    </row>
    <row r="69" spans="1:43" ht="15.75" thickBot="1" x14ac:dyDescent="0.3">
      <c r="A69" s="4"/>
      <c r="B69" s="4"/>
      <c r="C69" s="157" t="s">
        <v>169</v>
      </c>
      <c r="D69" s="60">
        <f>SUM(D58:D68)</f>
        <v>72365006.290095493</v>
      </c>
      <c r="E69" s="60">
        <f>SUM(E58:E68)</f>
        <v>8261437.5</v>
      </c>
      <c r="F69" s="60">
        <f>SUM(F58:F68)</f>
        <v>1722968.0584497496</v>
      </c>
      <c r="G69" s="60">
        <f>SUM(G58:G68)</f>
        <v>82349411.848545223</v>
      </c>
      <c r="H69" s="60">
        <f>SUM(H58:H68)</f>
        <v>104000</v>
      </c>
      <c r="I69" s="114">
        <f t="shared" si="64"/>
        <v>791.82126777447331</v>
      </c>
      <c r="J69" s="7"/>
      <c r="K69" s="7"/>
      <c r="L69" s="7"/>
      <c r="M69" s="7"/>
      <c r="N69" s="7"/>
      <c r="O69" s="7"/>
      <c r="Y69" s="95"/>
      <c r="AA69" s="4"/>
      <c r="AB69" s="4"/>
      <c r="AC69" s="157" t="s">
        <v>169</v>
      </c>
      <c r="AD69" s="402">
        <f>SUM(AD58:AD68)</f>
        <v>73093817.072095498</v>
      </c>
      <c r="AE69" s="402">
        <f>SUM(AE58:AE68)</f>
        <v>12321954.714000002</v>
      </c>
      <c r="AF69" s="402">
        <f>SUM(AF58:AF68)</f>
        <v>740635.24013975018</v>
      </c>
      <c r="AG69" s="402">
        <f>SUM(AG58:AG68)</f>
        <v>86156407.026235223</v>
      </c>
      <c r="AH69" s="402">
        <f>SUM(AH58:AH68)</f>
        <v>104000</v>
      </c>
      <c r="AI69" s="422">
        <f t="shared" si="65"/>
        <v>828.42699063687712</v>
      </c>
      <c r="AJ69" s="7"/>
      <c r="AK69" s="7"/>
      <c r="AL69" s="7"/>
      <c r="AM69" s="7"/>
      <c r="AN69" s="7"/>
      <c r="AO69" s="7"/>
    </row>
    <row r="70" spans="1:43" s="61" customFormat="1" ht="15.75" thickBot="1" x14ac:dyDescent="0.3">
      <c r="Y70" s="99"/>
    </row>
    <row r="71" spans="1:43" x14ac:dyDescent="0.25">
      <c r="Y71" s="95"/>
    </row>
    <row r="72" spans="1:43" x14ac:dyDescent="0.25">
      <c r="A72" s="56" t="s">
        <v>434</v>
      </c>
      <c r="Y72" s="95"/>
      <c r="AA72" s="56" t="s">
        <v>434</v>
      </c>
    </row>
    <row r="73" spans="1:43" ht="15.75" thickBot="1" x14ac:dyDescent="0.3">
      <c r="Y73" s="95"/>
    </row>
    <row r="74" spans="1:43" ht="45.75" thickBot="1" x14ac:dyDescent="0.3">
      <c r="C74" s="51" t="s">
        <v>415</v>
      </c>
      <c r="D74" s="52" t="s">
        <v>577</v>
      </c>
      <c r="E74" s="52" t="s">
        <v>557</v>
      </c>
      <c r="F74" s="52" t="s">
        <v>559</v>
      </c>
      <c r="G74" s="52" t="s">
        <v>560</v>
      </c>
      <c r="H74" s="52" t="s">
        <v>561</v>
      </c>
      <c r="I74" s="52" t="s">
        <v>562</v>
      </c>
      <c r="J74" s="52" t="s">
        <v>577</v>
      </c>
      <c r="K74" s="52" t="s">
        <v>565</v>
      </c>
      <c r="L74" s="52" t="s">
        <v>566</v>
      </c>
      <c r="M74" s="52" t="s">
        <v>568</v>
      </c>
      <c r="N74" s="52" t="s">
        <v>569</v>
      </c>
      <c r="O74" s="52" t="s">
        <v>570</v>
      </c>
      <c r="P74" s="101" t="s">
        <v>578</v>
      </c>
      <c r="Y74" s="95"/>
      <c r="AC74" s="51" t="s">
        <v>415</v>
      </c>
      <c r="AD74" s="52" t="s">
        <v>577</v>
      </c>
      <c r="AE74" s="398" t="s">
        <v>557</v>
      </c>
      <c r="AF74" s="52" t="s">
        <v>559</v>
      </c>
      <c r="AG74" s="52" t="s">
        <v>560</v>
      </c>
      <c r="AH74" s="52" t="s">
        <v>561</v>
      </c>
      <c r="AI74" s="52" t="s">
        <v>562</v>
      </c>
      <c r="AJ74" s="52" t="s">
        <v>577</v>
      </c>
      <c r="AK74" s="52" t="s">
        <v>565</v>
      </c>
      <c r="AL74" s="52" t="s">
        <v>566</v>
      </c>
      <c r="AM74" s="52" t="s">
        <v>568</v>
      </c>
      <c r="AN74" s="52" t="s">
        <v>569</v>
      </c>
      <c r="AO74" s="398" t="s">
        <v>570</v>
      </c>
      <c r="AP74" s="398" t="str">
        <f>AG23</f>
        <v>Costos Financieros (US$)</v>
      </c>
      <c r="AQ74" s="101" t="s">
        <v>578</v>
      </c>
    </row>
    <row r="75" spans="1:43" x14ac:dyDescent="0.25">
      <c r="C75" s="170">
        <v>0</v>
      </c>
      <c r="D75" s="171">
        <f>F7</f>
        <v>0</v>
      </c>
      <c r="E75" s="171">
        <f>J7</f>
        <v>0</v>
      </c>
      <c r="F75" s="171">
        <f>L7</f>
        <v>0</v>
      </c>
      <c r="G75" s="171">
        <f t="shared" ref="G75:I75" si="66">M7</f>
        <v>0</v>
      </c>
      <c r="H75" s="171">
        <f t="shared" si="66"/>
        <v>0</v>
      </c>
      <c r="I75" s="171">
        <f t="shared" si="66"/>
        <v>0</v>
      </c>
      <c r="J75" s="171">
        <f>D24</f>
        <v>0</v>
      </c>
      <c r="K75" s="171">
        <f t="shared" ref="K75:L75" si="67">E24</f>
        <v>0</v>
      </c>
      <c r="L75" s="171">
        <f t="shared" si="67"/>
        <v>0</v>
      </c>
      <c r="M75" s="171">
        <f>D41</f>
        <v>10000</v>
      </c>
      <c r="N75" s="171">
        <f t="shared" ref="N75:O75" si="68">E41</f>
        <v>1185.1989719999999</v>
      </c>
      <c r="O75" s="171">
        <f t="shared" si="68"/>
        <v>0</v>
      </c>
      <c r="P75" s="172">
        <f>SUM(D75:O75)</f>
        <v>11185.198972</v>
      </c>
      <c r="Y75" s="95"/>
      <c r="AC75" s="170">
        <v>0</v>
      </c>
      <c r="AD75" s="171">
        <f>AF7</f>
        <v>0</v>
      </c>
      <c r="AE75" s="399">
        <f>AJ7</f>
        <v>0</v>
      </c>
      <c r="AF75" s="171">
        <f>AL7</f>
        <v>0</v>
      </c>
      <c r="AG75" s="171">
        <f t="shared" ref="AG75:AG85" si="69">AM7</f>
        <v>0</v>
      </c>
      <c r="AH75" s="171">
        <f t="shared" ref="AH75:AH85" si="70">AN7</f>
        <v>0</v>
      </c>
      <c r="AI75" s="171">
        <f t="shared" ref="AI75:AI85" si="71">AO7</f>
        <v>0</v>
      </c>
      <c r="AJ75" s="171">
        <f>AD24</f>
        <v>0</v>
      </c>
      <c r="AK75" s="171">
        <f t="shared" ref="AK75:AK85" si="72">AE24</f>
        <v>0</v>
      </c>
      <c r="AL75" s="171">
        <f t="shared" ref="AL75:AL85" si="73">AF24</f>
        <v>0</v>
      </c>
      <c r="AM75" s="171">
        <f>AD41</f>
        <v>10000</v>
      </c>
      <c r="AN75" s="171">
        <f t="shared" ref="AN75:AN85" si="74">AE41</f>
        <v>1185.1989719999999</v>
      </c>
      <c r="AO75" s="399">
        <f t="shared" ref="AO75:AO85" si="75">AF41</f>
        <v>0</v>
      </c>
      <c r="AP75" s="399">
        <f>AG24</f>
        <v>0</v>
      </c>
      <c r="AQ75" s="172">
        <f>SUM(AD75:AP75)</f>
        <v>11185.198972</v>
      </c>
    </row>
    <row r="76" spans="1:43" x14ac:dyDescent="0.25">
      <c r="C76" s="173">
        <v>1</v>
      </c>
      <c r="D76" s="5">
        <f t="shared" ref="D76:D85" si="76">F8</f>
        <v>1355789.25</v>
      </c>
      <c r="E76" s="5">
        <f t="shared" ref="E76:E85" si="77">J8</f>
        <v>1755112.1269019074</v>
      </c>
      <c r="F76" s="5">
        <f t="shared" ref="F76:F85" si="78">L8</f>
        <v>1000000</v>
      </c>
      <c r="G76" s="5">
        <f t="shared" ref="G76:G85" si="79">M8</f>
        <v>170000</v>
      </c>
      <c r="H76" s="5">
        <f t="shared" ref="H76:H85" si="80">N8</f>
        <v>120000</v>
      </c>
      <c r="I76" s="5">
        <f t="shared" ref="I76:I85" si="81">O8</f>
        <v>20000</v>
      </c>
      <c r="J76" s="5">
        <f t="shared" ref="J76:J85" si="82">D25</f>
        <v>376143.75</v>
      </c>
      <c r="K76" s="5">
        <f t="shared" ref="K76:K85" si="83">E25</f>
        <v>50000</v>
      </c>
      <c r="L76" s="5">
        <f t="shared" ref="L76:L85" si="84">F25</f>
        <v>400000</v>
      </c>
      <c r="M76" s="5">
        <f t="shared" ref="M76:M85" si="85">D42</f>
        <v>10000</v>
      </c>
      <c r="N76" s="5">
        <f t="shared" ref="N76:N85" si="86">E42</f>
        <v>592.59948599999996</v>
      </c>
      <c r="O76" s="5">
        <f t="shared" ref="O76:O85" si="87">F42</f>
        <v>254500.22855292918</v>
      </c>
      <c r="P76" s="127">
        <f t="shared" ref="P76:P85" si="88">SUM(D76:O76)</f>
        <v>5512137.9549408369</v>
      </c>
      <c r="Y76" s="95"/>
      <c r="AC76" s="173">
        <v>1</v>
      </c>
      <c r="AD76" s="5">
        <f t="shared" ref="AD76:AD85" si="89">AF8</f>
        <v>1355789.25</v>
      </c>
      <c r="AE76" s="400">
        <f t="shared" ref="AE76:AE85" si="90">AJ8</f>
        <v>1900874.2833019076</v>
      </c>
      <c r="AF76" s="5">
        <f t="shared" ref="AF76:AF85" si="91">AL8</f>
        <v>1000000</v>
      </c>
      <c r="AG76" s="5">
        <f t="shared" si="69"/>
        <v>170000</v>
      </c>
      <c r="AH76" s="5">
        <f t="shared" si="70"/>
        <v>120000</v>
      </c>
      <c r="AI76" s="5">
        <f t="shared" si="71"/>
        <v>20000</v>
      </c>
      <c r="AJ76" s="5">
        <f t="shared" ref="AJ76:AJ85" si="92">AD25</f>
        <v>376143.75</v>
      </c>
      <c r="AK76" s="5">
        <f t="shared" si="72"/>
        <v>50000</v>
      </c>
      <c r="AL76" s="5">
        <f t="shared" si="73"/>
        <v>400000</v>
      </c>
      <c r="AM76" s="5">
        <f t="shared" ref="AM76:AM85" si="93">AD42</f>
        <v>10000</v>
      </c>
      <c r="AN76" s="5">
        <f t="shared" si="74"/>
        <v>592.59948599999996</v>
      </c>
      <c r="AO76" s="400">
        <f t="shared" si="75"/>
        <v>109258.6512829292</v>
      </c>
      <c r="AP76" s="400">
        <f t="shared" ref="AP76:AP85" si="94">AG25</f>
        <v>624694.95600000001</v>
      </c>
      <c r="AQ76" s="127">
        <f t="shared" ref="AQ76:AQ85" si="95">SUM(AD76:AP76)</f>
        <v>6137353.4900708366</v>
      </c>
    </row>
    <row r="77" spans="1:43" x14ac:dyDescent="0.25">
      <c r="C77" s="173">
        <v>2</v>
      </c>
      <c r="D77" s="5">
        <f t="shared" si="76"/>
        <v>1355789.25</v>
      </c>
      <c r="E77" s="5">
        <f t="shared" si="77"/>
        <v>1764265.4895152408</v>
      </c>
      <c r="F77" s="5">
        <f t="shared" si="78"/>
        <v>1000000</v>
      </c>
      <c r="G77" s="5">
        <f t="shared" si="79"/>
        <v>170000</v>
      </c>
      <c r="H77" s="5">
        <f t="shared" si="80"/>
        <v>120000</v>
      </c>
      <c r="I77" s="5">
        <f t="shared" si="81"/>
        <v>20000</v>
      </c>
      <c r="J77" s="5">
        <f t="shared" si="82"/>
        <v>376143.75</v>
      </c>
      <c r="K77" s="5">
        <f t="shared" si="83"/>
        <v>50000</v>
      </c>
      <c r="L77" s="5">
        <f t="shared" si="84"/>
        <v>400000</v>
      </c>
      <c r="M77" s="5">
        <f t="shared" si="85"/>
        <v>10000</v>
      </c>
      <c r="N77" s="5">
        <f t="shared" si="86"/>
        <v>592.59948599999996</v>
      </c>
      <c r="O77" s="5">
        <f t="shared" si="87"/>
        <v>230233.05323740054</v>
      </c>
      <c r="P77" s="127">
        <f t="shared" si="88"/>
        <v>5497024.1422386421</v>
      </c>
      <c r="Y77" s="95"/>
      <c r="AC77" s="173">
        <v>2</v>
      </c>
      <c r="AD77" s="5">
        <f t="shared" si="89"/>
        <v>1355789.25</v>
      </c>
      <c r="AE77" s="400">
        <f t="shared" si="90"/>
        <v>1910027.645915241</v>
      </c>
      <c r="AF77" s="5">
        <f t="shared" si="91"/>
        <v>1000000</v>
      </c>
      <c r="AG77" s="5">
        <f t="shared" si="69"/>
        <v>170000</v>
      </c>
      <c r="AH77" s="5">
        <f t="shared" si="70"/>
        <v>120000</v>
      </c>
      <c r="AI77" s="5">
        <f t="shared" si="71"/>
        <v>20000</v>
      </c>
      <c r="AJ77" s="5">
        <f t="shared" si="92"/>
        <v>376143.75</v>
      </c>
      <c r="AK77" s="5">
        <f t="shared" si="72"/>
        <v>50000</v>
      </c>
      <c r="AL77" s="5">
        <f t="shared" si="73"/>
        <v>400000</v>
      </c>
      <c r="AM77" s="5">
        <f t="shared" si="93"/>
        <v>10000</v>
      </c>
      <c r="AN77" s="5">
        <f t="shared" si="74"/>
        <v>592.59948599999996</v>
      </c>
      <c r="AO77" s="400">
        <f t="shared" si="75"/>
        <v>82805.04362140056</v>
      </c>
      <c r="AP77" s="400">
        <f t="shared" si="94"/>
        <v>624694.95600000001</v>
      </c>
      <c r="AQ77" s="127">
        <f t="shared" si="95"/>
        <v>6120053.2450226415</v>
      </c>
    </row>
    <row r="78" spans="1:43" x14ac:dyDescent="0.25">
      <c r="C78" s="173">
        <v>3</v>
      </c>
      <c r="D78" s="5">
        <f t="shared" si="76"/>
        <v>1355789.25</v>
      </c>
      <c r="E78" s="5">
        <f t="shared" si="77"/>
        <v>1764265.4895152408</v>
      </c>
      <c r="F78" s="5">
        <f t="shared" si="78"/>
        <v>1000000</v>
      </c>
      <c r="G78" s="5">
        <f t="shared" si="79"/>
        <v>170000</v>
      </c>
      <c r="H78" s="5">
        <f t="shared" si="80"/>
        <v>120000</v>
      </c>
      <c r="I78" s="5">
        <f t="shared" si="81"/>
        <v>20000</v>
      </c>
      <c r="J78" s="5">
        <f t="shared" si="82"/>
        <v>376143.75</v>
      </c>
      <c r="K78" s="5">
        <f t="shared" si="83"/>
        <v>50000</v>
      </c>
      <c r="L78" s="5">
        <f t="shared" si="84"/>
        <v>400000</v>
      </c>
      <c r="M78" s="5">
        <f t="shared" si="85"/>
        <v>10000</v>
      </c>
      <c r="N78" s="5">
        <f t="shared" si="86"/>
        <v>592.59948599999996</v>
      </c>
      <c r="O78" s="5">
        <f t="shared" si="87"/>
        <v>203769.07089467192</v>
      </c>
      <c r="P78" s="127">
        <f t="shared" si="88"/>
        <v>5470560.1598959127</v>
      </c>
      <c r="Y78" s="95"/>
      <c r="AC78" s="173">
        <v>3</v>
      </c>
      <c r="AD78" s="5">
        <f t="shared" si="89"/>
        <v>1355789.25</v>
      </c>
      <c r="AE78" s="400">
        <f t="shared" si="90"/>
        <v>1910027.645915241</v>
      </c>
      <c r="AF78" s="5">
        <f t="shared" si="91"/>
        <v>1000000</v>
      </c>
      <c r="AG78" s="5">
        <f t="shared" si="69"/>
        <v>170000</v>
      </c>
      <c r="AH78" s="5">
        <f t="shared" si="70"/>
        <v>120000</v>
      </c>
      <c r="AI78" s="5">
        <f t="shared" si="71"/>
        <v>20000</v>
      </c>
      <c r="AJ78" s="5">
        <f t="shared" si="92"/>
        <v>376143.75</v>
      </c>
      <c r="AK78" s="5">
        <f t="shared" si="72"/>
        <v>50000</v>
      </c>
      <c r="AL78" s="5">
        <f t="shared" si="73"/>
        <v>400000</v>
      </c>
      <c r="AM78" s="5">
        <f t="shared" si="93"/>
        <v>10000</v>
      </c>
      <c r="AN78" s="5">
        <f t="shared" si="74"/>
        <v>592.59948599999996</v>
      </c>
      <c r="AO78" s="400">
        <f t="shared" si="75"/>
        <v>54154.628932671963</v>
      </c>
      <c r="AP78" s="400">
        <f t="shared" si="94"/>
        <v>624694.95600000001</v>
      </c>
      <c r="AQ78" s="127">
        <f t="shared" si="95"/>
        <v>6091402.8303339127</v>
      </c>
    </row>
    <row r="79" spans="1:43" x14ac:dyDescent="0.25">
      <c r="C79" s="173">
        <v>4</v>
      </c>
      <c r="D79" s="5">
        <f t="shared" si="76"/>
        <v>1355789.25</v>
      </c>
      <c r="E79" s="5">
        <f t="shared" si="77"/>
        <v>1786824.4495152407</v>
      </c>
      <c r="F79" s="5">
        <f t="shared" si="78"/>
        <v>1000000</v>
      </c>
      <c r="G79" s="5">
        <f t="shared" si="79"/>
        <v>170000</v>
      </c>
      <c r="H79" s="5">
        <f t="shared" si="80"/>
        <v>120000</v>
      </c>
      <c r="I79" s="5">
        <f t="shared" si="81"/>
        <v>20000</v>
      </c>
      <c r="J79" s="5">
        <f t="shared" si="82"/>
        <v>376143.75</v>
      </c>
      <c r="K79" s="5">
        <f t="shared" si="83"/>
        <v>50000</v>
      </c>
      <c r="L79" s="5">
        <f t="shared" si="84"/>
        <v>400000</v>
      </c>
      <c r="M79" s="5">
        <f t="shared" si="85"/>
        <v>10000</v>
      </c>
      <c r="N79" s="5">
        <f t="shared" si="86"/>
        <v>592.59948599999996</v>
      </c>
      <c r="O79" s="5">
        <f t="shared" si="87"/>
        <v>182380.85455194331</v>
      </c>
      <c r="P79" s="127">
        <f t="shared" si="88"/>
        <v>5471730.9035531832</v>
      </c>
      <c r="Y79" s="95"/>
      <c r="AC79" s="173">
        <v>4</v>
      </c>
      <c r="AD79" s="5">
        <f t="shared" si="89"/>
        <v>1355789.25</v>
      </c>
      <c r="AE79" s="400">
        <f t="shared" si="90"/>
        <v>1932586.6059152409</v>
      </c>
      <c r="AF79" s="5">
        <f t="shared" si="91"/>
        <v>1000000</v>
      </c>
      <c r="AG79" s="5">
        <f t="shared" si="69"/>
        <v>170000</v>
      </c>
      <c r="AH79" s="5">
        <f t="shared" si="70"/>
        <v>120000</v>
      </c>
      <c r="AI79" s="5">
        <f t="shared" si="71"/>
        <v>20000</v>
      </c>
      <c r="AJ79" s="5">
        <f t="shared" si="92"/>
        <v>376143.75</v>
      </c>
      <c r="AK79" s="5">
        <f t="shared" si="72"/>
        <v>50000</v>
      </c>
      <c r="AL79" s="5">
        <f t="shared" si="73"/>
        <v>400000</v>
      </c>
      <c r="AM79" s="5">
        <f t="shared" si="93"/>
        <v>10000</v>
      </c>
      <c r="AN79" s="5">
        <f t="shared" si="74"/>
        <v>592.59948599999996</v>
      </c>
      <c r="AO79" s="400">
        <f t="shared" si="75"/>
        <v>50101.697618943334</v>
      </c>
      <c r="AP79" s="400">
        <f t="shared" si="94"/>
        <v>546608.08649999998</v>
      </c>
      <c r="AQ79" s="127">
        <f t="shared" si="95"/>
        <v>6031821.9895201847</v>
      </c>
    </row>
    <row r="80" spans="1:43" x14ac:dyDescent="0.25">
      <c r="C80" s="173">
        <v>5</v>
      </c>
      <c r="D80" s="5">
        <f t="shared" si="76"/>
        <v>1355789.25</v>
      </c>
      <c r="E80" s="5">
        <f t="shared" si="77"/>
        <v>1802586.3454704816</v>
      </c>
      <c r="F80" s="5">
        <f t="shared" si="78"/>
        <v>1000000</v>
      </c>
      <c r="G80" s="5">
        <f t="shared" si="79"/>
        <v>170000</v>
      </c>
      <c r="H80" s="5">
        <f t="shared" si="80"/>
        <v>120000</v>
      </c>
      <c r="I80" s="5">
        <f t="shared" si="81"/>
        <v>20000</v>
      </c>
      <c r="J80" s="5">
        <f t="shared" si="82"/>
        <v>376143.75</v>
      </c>
      <c r="K80" s="5">
        <f t="shared" si="83"/>
        <v>50000</v>
      </c>
      <c r="L80" s="5">
        <f t="shared" si="84"/>
        <v>400000</v>
      </c>
      <c r="M80" s="5">
        <f t="shared" si="85"/>
        <v>10000</v>
      </c>
      <c r="N80" s="5">
        <f t="shared" si="86"/>
        <v>592.59948599999996</v>
      </c>
      <c r="O80" s="5">
        <f t="shared" si="87"/>
        <v>159124.91439914386</v>
      </c>
      <c r="P80" s="127">
        <f t="shared" si="88"/>
        <v>5464236.8593556257</v>
      </c>
      <c r="Y80" s="95"/>
      <c r="AC80" s="173">
        <v>5</v>
      </c>
      <c r="AD80" s="5">
        <f t="shared" si="89"/>
        <v>1355789.25</v>
      </c>
      <c r="AE80" s="400">
        <f t="shared" si="90"/>
        <v>1948348.5018704818</v>
      </c>
      <c r="AF80" s="5">
        <f t="shared" si="91"/>
        <v>1000000</v>
      </c>
      <c r="AG80" s="5">
        <f t="shared" si="69"/>
        <v>170000</v>
      </c>
      <c r="AH80" s="5">
        <f t="shared" si="70"/>
        <v>120000</v>
      </c>
      <c r="AI80" s="5">
        <f t="shared" si="71"/>
        <v>20000</v>
      </c>
      <c r="AJ80" s="5">
        <f t="shared" si="92"/>
        <v>376143.75</v>
      </c>
      <c r="AK80" s="5">
        <f t="shared" si="72"/>
        <v>50000</v>
      </c>
      <c r="AL80" s="5">
        <f t="shared" si="73"/>
        <v>400000</v>
      </c>
      <c r="AM80" s="5">
        <f t="shared" si="93"/>
        <v>10000</v>
      </c>
      <c r="AN80" s="5">
        <f t="shared" si="74"/>
        <v>592.59948599999996</v>
      </c>
      <c r="AO80" s="400">
        <f t="shared" si="75"/>
        <v>44181.042495143884</v>
      </c>
      <c r="AP80" s="400">
        <f t="shared" si="94"/>
        <v>468521.217</v>
      </c>
      <c r="AQ80" s="127">
        <f t="shared" si="95"/>
        <v>5963576.360851625</v>
      </c>
    </row>
    <row r="81" spans="1:43" x14ac:dyDescent="0.25">
      <c r="C81" s="173">
        <v>6</v>
      </c>
      <c r="D81" s="5">
        <f t="shared" si="76"/>
        <v>1355789.25</v>
      </c>
      <c r="E81" s="5">
        <f t="shared" si="77"/>
        <v>673244.67880381492</v>
      </c>
      <c r="F81" s="5">
        <f t="shared" si="78"/>
        <v>1000000</v>
      </c>
      <c r="G81" s="5">
        <f t="shared" si="79"/>
        <v>170000</v>
      </c>
      <c r="H81" s="5">
        <f t="shared" si="80"/>
        <v>120000</v>
      </c>
      <c r="I81" s="5">
        <f t="shared" si="81"/>
        <v>20000</v>
      </c>
      <c r="J81" s="5">
        <f t="shared" si="82"/>
        <v>376143.75</v>
      </c>
      <c r="K81" s="5">
        <f t="shared" si="83"/>
        <v>50000</v>
      </c>
      <c r="L81" s="5">
        <f t="shared" si="84"/>
        <v>400000</v>
      </c>
      <c r="M81" s="5">
        <f t="shared" si="85"/>
        <v>10000</v>
      </c>
      <c r="N81" s="5">
        <f t="shared" si="86"/>
        <v>592.59948599999996</v>
      </c>
      <c r="O81" s="5">
        <f t="shared" si="87"/>
        <v>132684.24421708664</v>
      </c>
      <c r="P81" s="127">
        <f t="shared" si="88"/>
        <v>4308454.522506902</v>
      </c>
      <c r="Y81" s="95"/>
      <c r="AC81" s="173">
        <v>6</v>
      </c>
      <c r="AD81" s="5">
        <f t="shared" si="89"/>
        <v>1355789.25</v>
      </c>
      <c r="AE81" s="400">
        <f t="shared" si="90"/>
        <v>673244.67880381492</v>
      </c>
      <c r="AF81" s="5">
        <f t="shared" si="91"/>
        <v>1000000</v>
      </c>
      <c r="AG81" s="5">
        <f t="shared" si="69"/>
        <v>170000</v>
      </c>
      <c r="AH81" s="5">
        <f t="shared" si="70"/>
        <v>120000</v>
      </c>
      <c r="AI81" s="5">
        <f t="shared" si="71"/>
        <v>20000</v>
      </c>
      <c r="AJ81" s="5">
        <f t="shared" si="92"/>
        <v>376143.75</v>
      </c>
      <c r="AK81" s="5">
        <f t="shared" si="72"/>
        <v>50000</v>
      </c>
      <c r="AL81" s="5">
        <f t="shared" si="73"/>
        <v>400000</v>
      </c>
      <c r="AM81" s="5">
        <f t="shared" si="93"/>
        <v>10000</v>
      </c>
      <c r="AN81" s="5">
        <f t="shared" si="74"/>
        <v>592.59948599999996</v>
      </c>
      <c r="AO81" s="400">
        <f t="shared" si="75"/>
        <v>35075.657342086663</v>
      </c>
      <c r="AP81" s="400">
        <f t="shared" si="94"/>
        <v>390434.34749999997</v>
      </c>
      <c r="AQ81" s="127">
        <f t="shared" si="95"/>
        <v>4601280.2831319021</v>
      </c>
    </row>
    <row r="82" spans="1:43" x14ac:dyDescent="0.25">
      <c r="C82" s="173">
        <v>7</v>
      </c>
      <c r="D82" s="5">
        <f t="shared" si="76"/>
        <v>1355789.25</v>
      </c>
      <c r="E82" s="5">
        <f t="shared" si="77"/>
        <v>682398.0414171482</v>
      </c>
      <c r="F82" s="5">
        <f t="shared" si="78"/>
        <v>1000000</v>
      </c>
      <c r="G82" s="5">
        <f t="shared" si="79"/>
        <v>170000</v>
      </c>
      <c r="H82" s="5">
        <f t="shared" si="80"/>
        <v>120000</v>
      </c>
      <c r="I82" s="5">
        <f t="shared" si="81"/>
        <v>20000</v>
      </c>
      <c r="J82" s="5">
        <f t="shared" si="82"/>
        <v>376143.75</v>
      </c>
      <c r="K82" s="5">
        <f t="shared" si="83"/>
        <v>50000</v>
      </c>
      <c r="L82" s="5">
        <f t="shared" si="84"/>
        <v>400000</v>
      </c>
      <c r="M82" s="5">
        <f t="shared" si="85"/>
        <v>10000</v>
      </c>
      <c r="N82" s="5">
        <f t="shared" si="86"/>
        <v>592.59948599999996</v>
      </c>
      <c r="O82" s="5">
        <f t="shared" si="87"/>
        <v>126145.08062302943</v>
      </c>
      <c r="P82" s="127">
        <f t="shared" si="88"/>
        <v>4311068.7215261776</v>
      </c>
      <c r="Y82" s="95"/>
      <c r="AC82" s="173">
        <v>7</v>
      </c>
      <c r="AD82" s="5">
        <f t="shared" si="89"/>
        <v>1355789.25</v>
      </c>
      <c r="AE82" s="400">
        <f t="shared" si="90"/>
        <v>682398.0414171482</v>
      </c>
      <c r="AF82" s="5">
        <f t="shared" si="91"/>
        <v>1000000</v>
      </c>
      <c r="AG82" s="5">
        <f t="shared" si="69"/>
        <v>170000</v>
      </c>
      <c r="AH82" s="5">
        <f t="shared" si="70"/>
        <v>120000</v>
      </c>
      <c r="AI82" s="5">
        <f t="shared" si="71"/>
        <v>20000</v>
      </c>
      <c r="AJ82" s="5">
        <f t="shared" si="92"/>
        <v>376143.75</v>
      </c>
      <c r="AK82" s="5">
        <f t="shared" si="72"/>
        <v>50000</v>
      </c>
      <c r="AL82" s="5">
        <f t="shared" si="73"/>
        <v>400000</v>
      </c>
      <c r="AM82" s="5">
        <f t="shared" si="93"/>
        <v>10000</v>
      </c>
      <c r="AN82" s="5">
        <f t="shared" si="74"/>
        <v>592.59948599999996</v>
      </c>
      <c r="AO82" s="400">
        <f t="shared" si="75"/>
        <v>48058.211123029461</v>
      </c>
      <c r="AP82" s="400">
        <f t="shared" si="94"/>
        <v>312347.478</v>
      </c>
      <c r="AQ82" s="127">
        <f t="shared" si="95"/>
        <v>4545329.3300261777</v>
      </c>
    </row>
    <row r="83" spans="1:43" x14ac:dyDescent="0.25">
      <c r="C83" s="173">
        <v>8</v>
      </c>
      <c r="D83" s="5">
        <f t="shared" si="76"/>
        <v>1355789.25</v>
      </c>
      <c r="E83" s="5">
        <f t="shared" si="77"/>
        <v>682398.0414171482</v>
      </c>
      <c r="F83" s="5">
        <f t="shared" si="78"/>
        <v>1000000</v>
      </c>
      <c r="G83" s="5">
        <f t="shared" si="79"/>
        <v>170000</v>
      </c>
      <c r="H83" s="5">
        <f t="shared" si="80"/>
        <v>120000</v>
      </c>
      <c r="I83" s="5">
        <f t="shared" si="81"/>
        <v>20000</v>
      </c>
      <c r="J83" s="5">
        <f t="shared" si="82"/>
        <v>376143.75</v>
      </c>
      <c r="K83" s="5">
        <f t="shared" si="83"/>
        <v>50000</v>
      </c>
      <c r="L83" s="5">
        <f t="shared" si="84"/>
        <v>400000</v>
      </c>
      <c r="M83" s="5">
        <f t="shared" si="85"/>
        <v>10000</v>
      </c>
      <c r="N83" s="5">
        <f t="shared" si="86"/>
        <v>592.59948599999996</v>
      </c>
      <c r="O83" s="5">
        <f t="shared" si="87"/>
        <v>115909.11000177221</v>
      </c>
      <c r="P83" s="127">
        <f t="shared" si="88"/>
        <v>4300832.7509049205</v>
      </c>
      <c r="Y83" s="95"/>
      <c r="AC83" s="173">
        <v>8</v>
      </c>
      <c r="AD83" s="5">
        <f t="shared" si="89"/>
        <v>1355789.25</v>
      </c>
      <c r="AE83" s="400">
        <f t="shared" si="90"/>
        <v>682398.0414171482</v>
      </c>
      <c r="AF83" s="5">
        <f t="shared" si="91"/>
        <v>1000000</v>
      </c>
      <c r="AG83" s="5">
        <f t="shared" si="69"/>
        <v>170000</v>
      </c>
      <c r="AH83" s="5">
        <f t="shared" si="70"/>
        <v>120000</v>
      </c>
      <c r="AI83" s="5">
        <f t="shared" si="71"/>
        <v>20000</v>
      </c>
      <c r="AJ83" s="5">
        <f t="shared" si="92"/>
        <v>376143.75</v>
      </c>
      <c r="AK83" s="5">
        <f t="shared" si="72"/>
        <v>50000</v>
      </c>
      <c r="AL83" s="5">
        <f t="shared" si="73"/>
        <v>400000</v>
      </c>
      <c r="AM83" s="5">
        <f t="shared" si="93"/>
        <v>10000</v>
      </c>
      <c r="AN83" s="5">
        <f t="shared" si="74"/>
        <v>592.59948599999996</v>
      </c>
      <c r="AO83" s="400">
        <f t="shared" si="75"/>
        <v>57343.957876772249</v>
      </c>
      <c r="AP83" s="400">
        <f t="shared" si="94"/>
        <v>234260.60849999997</v>
      </c>
      <c r="AQ83" s="127">
        <f t="shared" si="95"/>
        <v>4476528.2072799206</v>
      </c>
    </row>
    <row r="84" spans="1:43" x14ac:dyDescent="0.25">
      <c r="C84" s="173">
        <v>9</v>
      </c>
      <c r="D84" s="5">
        <f t="shared" si="76"/>
        <v>1355789.25</v>
      </c>
      <c r="E84" s="5">
        <f t="shared" si="77"/>
        <v>682398.0414171482</v>
      </c>
      <c r="F84" s="5">
        <f t="shared" si="78"/>
        <v>1000000</v>
      </c>
      <c r="G84" s="5">
        <f t="shared" si="79"/>
        <v>170000</v>
      </c>
      <c r="H84" s="5">
        <f t="shared" si="80"/>
        <v>120000</v>
      </c>
      <c r="I84" s="5">
        <f t="shared" si="81"/>
        <v>20000</v>
      </c>
      <c r="J84" s="5">
        <f t="shared" si="82"/>
        <v>376143.75</v>
      </c>
      <c r="K84" s="5">
        <f t="shared" si="83"/>
        <v>50000</v>
      </c>
      <c r="L84" s="5">
        <f t="shared" si="84"/>
        <v>400000</v>
      </c>
      <c r="M84" s="5">
        <f t="shared" si="85"/>
        <v>10000</v>
      </c>
      <c r="N84" s="5">
        <f t="shared" si="86"/>
        <v>592.59948599999996</v>
      </c>
      <c r="O84" s="5">
        <f t="shared" si="87"/>
        <v>105673.13938051499</v>
      </c>
      <c r="P84" s="127">
        <f t="shared" si="88"/>
        <v>4290596.7802836625</v>
      </c>
      <c r="Y84" s="95"/>
      <c r="AC84" s="173">
        <v>9</v>
      </c>
      <c r="AD84" s="5">
        <f t="shared" si="89"/>
        <v>1355789.25</v>
      </c>
      <c r="AE84" s="400">
        <f t="shared" si="90"/>
        <v>682398.0414171482</v>
      </c>
      <c r="AF84" s="5">
        <f t="shared" si="91"/>
        <v>1000000</v>
      </c>
      <c r="AG84" s="5">
        <f t="shared" si="69"/>
        <v>170000</v>
      </c>
      <c r="AH84" s="5">
        <f t="shared" si="70"/>
        <v>120000</v>
      </c>
      <c r="AI84" s="5">
        <f t="shared" si="71"/>
        <v>20000</v>
      </c>
      <c r="AJ84" s="5">
        <f t="shared" si="92"/>
        <v>376143.75</v>
      </c>
      <c r="AK84" s="5">
        <f t="shared" si="72"/>
        <v>50000</v>
      </c>
      <c r="AL84" s="5">
        <f t="shared" si="73"/>
        <v>400000</v>
      </c>
      <c r="AM84" s="5">
        <f t="shared" si="93"/>
        <v>10000</v>
      </c>
      <c r="AN84" s="5">
        <f t="shared" si="74"/>
        <v>592.59948599999996</v>
      </c>
      <c r="AO84" s="400">
        <f t="shared" si="75"/>
        <v>66629.704630515029</v>
      </c>
      <c r="AP84" s="400">
        <f t="shared" si="94"/>
        <v>156173.73899999997</v>
      </c>
      <c r="AQ84" s="127">
        <f t="shared" si="95"/>
        <v>4407727.0845336625</v>
      </c>
    </row>
    <row r="85" spans="1:43" ht="15.75" thickBot="1" x14ac:dyDescent="0.3">
      <c r="C85" s="174">
        <v>10</v>
      </c>
      <c r="D85" s="62">
        <f t="shared" si="76"/>
        <v>1355789.25</v>
      </c>
      <c r="E85" s="62">
        <f t="shared" si="77"/>
        <v>682398.0414171482</v>
      </c>
      <c r="F85" s="62">
        <f t="shared" si="78"/>
        <v>1000000</v>
      </c>
      <c r="G85" s="62">
        <f t="shared" si="79"/>
        <v>170000</v>
      </c>
      <c r="H85" s="62">
        <f t="shared" si="80"/>
        <v>120000</v>
      </c>
      <c r="I85" s="62">
        <f t="shared" si="81"/>
        <v>20000</v>
      </c>
      <c r="J85" s="62">
        <f t="shared" si="82"/>
        <v>376143.75</v>
      </c>
      <c r="K85" s="62">
        <f t="shared" si="83"/>
        <v>50000</v>
      </c>
      <c r="L85" s="62">
        <f t="shared" si="84"/>
        <v>400000</v>
      </c>
      <c r="M85" s="62">
        <f t="shared" si="85"/>
        <v>10000</v>
      </c>
      <c r="N85" s="62">
        <f t="shared" si="86"/>
        <v>592.59948599999996</v>
      </c>
      <c r="O85" s="62">
        <f t="shared" si="87"/>
        <v>95437.168759257765</v>
      </c>
      <c r="P85" s="130">
        <f t="shared" si="88"/>
        <v>4280360.8096624054</v>
      </c>
      <c r="Y85" s="95"/>
      <c r="AC85" s="174">
        <v>10</v>
      </c>
      <c r="AD85" s="62">
        <f t="shared" si="89"/>
        <v>1355789.25</v>
      </c>
      <c r="AE85" s="401">
        <f t="shared" si="90"/>
        <v>682398.0414171482</v>
      </c>
      <c r="AF85" s="62">
        <f t="shared" si="91"/>
        <v>1000000</v>
      </c>
      <c r="AG85" s="62">
        <f t="shared" si="69"/>
        <v>170000</v>
      </c>
      <c r="AH85" s="62">
        <f t="shared" si="70"/>
        <v>120000</v>
      </c>
      <c r="AI85" s="62">
        <f t="shared" si="71"/>
        <v>20000</v>
      </c>
      <c r="AJ85" s="62">
        <f t="shared" si="92"/>
        <v>376143.75</v>
      </c>
      <c r="AK85" s="62">
        <f t="shared" si="72"/>
        <v>50000</v>
      </c>
      <c r="AL85" s="62">
        <f t="shared" si="73"/>
        <v>400000</v>
      </c>
      <c r="AM85" s="62">
        <f t="shared" si="93"/>
        <v>10000</v>
      </c>
      <c r="AN85" s="62">
        <f t="shared" si="74"/>
        <v>592.59948599999996</v>
      </c>
      <c r="AO85" s="401">
        <f t="shared" si="75"/>
        <v>75915.451384257816</v>
      </c>
      <c r="AP85" s="401">
        <f t="shared" si="94"/>
        <v>78086.869499999972</v>
      </c>
      <c r="AQ85" s="130">
        <f t="shared" si="95"/>
        <v>4338925.9617874054</v>
      </c>
    </row>
    <row r="86" spans="1:43" ht="15.75" thickBot="1" x14ac:dyDescent="0.3">
      <c r="C86" s="157" t="s">
        <v>169</v>
      </c>
      <c r="D86" s="60">
        <f t="shared" ref="D86" si="96">SUM(D75:D85)</f>
        <v>13557892.5</v>
      </c>
      <c r="E86" s="60">
        <f t="shared" ref="E86" si="97">SUM(E75:E85)</f>
        <v>12275890.745390518</v>
      </c>
      <c r="F86" s="60">
        <f t="shared" ref="F86" si="98">SUM(F75:F85)</f>
        <v>10000000</v>
      </c>
      <c r="G86" s="60">
        <f t="shared" ref="G86" si="99">SUM(G75:G85)</f>
        <v>1700000</v>
      </c>
      <c r="H86" s="60">
        <f t="shared" ref="H86" si="100">SUM(H75:H85)</f>
        <v>1200000</v>
      </c>
      <c r="I86" s="60">
        <f t="shared" ref="I86" si="101">SUM(I75:I85)</f>
        <v>200000</v>
      </c>
      <c r="J86" s="60">
        <f t="shared" ref="J86:P86" si="102">SUM(J75:J85)</f>
        <v>3761437.5</v>
      </c>
      <c r="K86" s="60">
        <f t="shared" si="102"/>
        <v>500000</v>
      </c>
      <c r="L86" s="60">
        <f t="shared" si="102"/>
        <v>4000000</v>
      </c>
      <c r="M86" s="60">
        <f t="shared" si="102"/>
        <v>110000</v>
      </c>
      <c r="N86" s="60">
        <f t="shared" si="102"/>
        <v>7111.1938319999999</v>
      </c>
      <c r="O86" s="60">
        <f t="shared" si="102"/>
        <v>1605856.86461775</v>
      </c>
      <c r="P86" s="114">
        <f t="shared" si="102"/>
        <v>48918188.803840265</v>
      </c>
      <c r="Y86" s="95"/>
      <c r="AC86" s="157" t="s">
        <v>169</v>
      </c>
      <c r="AD86" s="60">
        <f t="shared" ref="AD86" si="103">SUM(AD75:AD85)</f>
        <v>13557892.5</v>
      </c>
      <c r="AE86" s="402">
        <f t="shared" ref="AE86" si="104">SUM(AE75:AE85)</f>
        <v>13004701.527390519</v>
      </c>
      <c r="AF86" s="60">
        <f t="shared" ref="AF86" si="105">SUM(AF75:AF85)</f>
        <v>10000000</v>
      </c>
      <c r="AG86" s="60">
        <f t="shared" ref="AG86" si="106">SUM(AG75:AG85)</f>
        <v>1700000</v>
      </c>
      <c r="AH86" s="60">
        <f t="shared" ref="AH86" si="107">SUM(AH75:AH85)</f>
        <v>1200000</v>
      </c>
      <c r="AI86" s="60">
        <f t="shared" ref="AI86" si="108">SUM(AI75:AI85)</f>
        <v>200000</v>
      </c>
      <c r="AJ86" s="60">
        <f t="shared" ref="AJ86:AQ86" si="109">SUM(AJ75:AJ85)</f>
        <v>3761437.5</v>
      </c>
      <c r="AK86" s="60">
        <f t="shared" si="109"/>
        <v>500000</v>
      </c>
      <c r="AL86" s="60">
        <f t="shared" si="109"/>
        <v>4000000</v>
      </c>
      <c r="AM86" s="60">
        <f t="shared" si="109"/>
        <v>110000</v>
      </c>
      <c r="AN86" s="60">
        <f t="shared" si="109"/>
        <v>7111.1938319999999</v>
      </c>
      <c r="AO86" s="402">
        <f t="shared" si="109"/>
        <v>623524.04630775028</v>
      </c>
      <c r="AP86" s="402">
        <f t="shared" si="109"/>
        <v>4060517.2140000006</v>
      </c>
      <c r="AQ86" s="114">
        <f t="shared" si="109"/>
        <v>52725183.981530271</v>
      </c>
    </row>
    <row r="87" spans="1:43" s="61" customFormat="1" ht="15.75" thickBot="1" x14ac:dyDescent="0.3">
      <c r="Y87" s="99"/>
    </row>
    <row r="88" spans="1:43" x14ac:dyDescent="0.25">
      <c r="Y88" s="95"/>
    </row>
    <row r="89" spans="1:43" x14ac:dyDescent="0.25">
      <c r="A89" s="56" t="s">
        <v>503</v>
      </c>
      <c r="B89" s="56"/>
      <c r="Y89" s="95"/>
      <c r="AA89" s="56" t="s">
        <v>503</v>
      </c>
      <c r="AB89" s="56"/>
    </row>
    <row r="90" spans="1:43" ht="15.75" thickBot="1" x14ac:dyDescent="0.3">
      <c r="Y90" s="95"/>
    </row>
    <row r="91" spans="1:43" ht="60.75" thickBot="1" x14ac:dyDescent="0.3">
      <c r="C91" s="51" t="s">
        <v>415</v>
      </c>
      <c r="D91" s="52" t="s">
        <v>551</v>
      </c>
      <c r="E91" s="52" t="s">
        <v>552</v>
      </c>
      <c r="F91" s="52" t="s">
        <v>554</v>
      </c>
      <c r="G91" s="52" t="s">
        <v>555</v>
      </c>
      <c r="H91" s="52" t="s">
        <v>556</v>
      </c>
      <c r="I91" s="52" t="s">
        <v>558</v>
      </c>
      <c r="J91" s="52" t="s">
        <v>579</v>
      </c>
      <c r="K91" s="52" t="s">
        <v>509</v>
      </c>
      <c r="L91" s="101" t="s">
        <v>510</v>
      </c>
      <c r="Y91" s="95"/>
      <c r="AC91" s="51" t="s">
        <v>415</v>
      </c>
      <c r="AD91" s="52" t="s">
        <v>551</v>
      </c>
      <c r="AE91" s="52" t="s">
        <v>552</v>
      </c>
      <c r="AF91" s="52" t="s">
        <v>554</v>
      </c>
      <c r="AG91" s="52" t="s">
        <v>555</v>
      </c>
      <c r="AH91" s="52" t="s">
        <v>556</v>
      </c>
      <c r="AI91" s="52" t="s">
        <v>558</v>
      </c>
      <c r="AJ91" s="52" t="s">
        <v>579</v>
      </c>
      <c r="AK91" s="52" t="s">
        <v>509</v>
      </c>
      <c r="AL91" s="101" t="s">
        <v>510</v>
      </c>
    </row>
    <row r="92" spans="1:43" x14ac:dyDescent="0.25">
      <c r="C92" s="170">
        <v>0</v>
      </c>
      <c r="D92" s="171">
        <f>D7</f>
        <v>0</v>
      </c>
      <c r="E92" s="171">
        <f>E7</f>
        <v>0</v>
      </c>
      <c r="F92" s="171">
        <f>G7</f>
        <v>0</v>
      </c>
      <c r="G92" s="171">
        <f t="shared" ref="G92:H92" si="110">H7</f>
        <v>0</v>
      </c>
      <c r="H92" s="171">
        <f t="shared" si="110"/>
        <v>0</v>
      </c>
      <c r="I92" s="171">
        <f>K7</f>
        <v>0</v>
      </c>
      <c r="J92" s="171">
        <f>SUM(D92:I92)</f>
        <v>0</v>
      </c>
      <c r="K92" s="171">
        <f>Ingresos!D8</f>
        <v>0</v>
      </c>
      <c r="L92" s="100">
        <v>0</v>
      </c>
      <c r="Y92" s="95"/>
      <c r="AC92" s="170">
        <v>0</v>
      </c>
      <c r="AD92" s="171">
        <f>AD7</f>
        <v>0</v>
      </c>
      <c r="AE92" s="171">
        <f>AE7</f>
        <v>0</v>
      </c>
      <c r="AF92" s="171">
        <f>AG7</f>
        <v>0</v>
      </c>
      <c r="AG92" s="171">
        <f t="shared" ref="AG92:AH92" si="111">AH7</f>
        <v>0</v>
      </c>
      <c r="AH92" s="171">
        <f t="shared" si="111"/>
        <v>0</v>
      </c>
      <c r="AI92" s="171">
        <f>AK7</f>
        <v>0</v>
      </c>
      <c r="AJ92" s="171">
        <f>SUM(AD92:AI92)</f>
        <v>0</v>
      </c>
      <c r="AK92" s="171">
        <f>Ingresos!D8</f>
        <v>0</v>
      </c>
      <c r="AL92" s="100">
        <v>0</v>
      </c>
    </row>
    <row r="93" spans="1:43" x14ac:dyDescent="0.25">
      <c r="C93" s="173">
        <v>1</v>
      </c>
      <c r="D93" s="5">
        <f t="shared" ref="D93:E102" si="112">D8</f>
        <v>1332101.9268125314</v>
      </c>
      <c r="E93" s="5">
        <f t="shared" si="112"/>
        <v>2496</v>
      </c>
      <c r="F93" s="5">
        <f t="shared" ref="F93:H93" si="113">G8</f>
        <v>136400</v>
      </c>
      <c r="G93" s="5">
        <f t="shared" si="113"/>
        <v>261317.40197499999</v>
      </c>
      <c r="H93" s="5">
        <f t="shared" si="113"/>
        <v>65887.5</v>
      </c>
      <c r="I93" s="5">
        <f t="shared" ref="I93:I102" si="114">K8</f>
        <v>40000</v>
      </c>
      <c r="J93" s="5">
        <f t="shared" ref="J93:J102" si="115">SUM(D93:I93)</f>
        <v>1838202.8287875315</v>
      </c>
      <c r="K93" s="5">
        <f>Ingresos!D9</f>
        <v>8000</v>
      </c>
      <c r="L93" s="175">
        <f t="shared" ref="L93:L102" si="116">J93/K93</f>
        <v>229.77535359844143</v>
      </c>
      <c r="Y93" s="95"/>
      <c r="AC93" s="173">
        <v>1</v>
      </c>
      <c r="AD93" s="5">
        <f t="shared" ref="AD93:AE93" si="117">AD8</f>
        <v>1332101.9268125314</v>
      </c>
      <c r="AE93" s="5">
        <f t="shared" si="117"/>
        <v>2496</v>
      </c>
      <c r="AF93" s="5">
        <f t="shared" ref="AF93:AH93" si="118">AG8</f>
        <v>136400</v>
      </c>
      <c r="AG93" s="5">
        <f t="shared" si="118"/>
        <v>261317.40197499999</v>
      </c>
      <c r="AH93" s="5">
        <f t="shared" si="118"/>
        <v>65887.5</v>
      </c>
      <c r="AI93" s="5">
        <f t="shared" ref="AI93:AI102" si="119">AK8</f>
        <v>40000</v>
      </c>
      <c r="AJ93" s="5">
        <f t="shared" ref="AJ93:AJ102" si="120">SUM(AD93:AI93)</f>
        <v>1838202.8287875315</v>
      </c>
      <c r="AK93" s="5">
        <f>Ingresos!D9</f>
        <v>8000</v>
      </c>
      <c r="AL93" s="175">
        <f t="shared" ref="AL93:AL102" si="121">AJ93/AK93</f>
        <v>229.77535359844143</v>
      </c>
    </row>
    <row r="94" spans="1:43" x14ac:dyDescent="0.25">
      <c r="C94" s="173">
        <v>2</v>
      </c>
      <c r="D94" s="5">
        <f t="shared" si="112"/>
        <v>1631297.1140043014</v>
      </c>
      <c r="E94" s="5">
        <f t="shared" si="112"/>
        <v>4992</v>
      </c>
      <c r="F94" s="5">
        <f t="shared" ref="F94:H94" si="122">G9</f>
        <v>184400</v>
      </c>
      <c r="G94" s="5">
        <f t="shared" si="122"/>
        <v>261317.40197499999</v>
      </c>
      <c r="H94" s="5">
        <f t="shared" si="122"/>
        <v>65887.5</v>
      </c>
      <c r="I94" s="5">
        <f t="shared" si="114"/>
        <v>45000</v>
      </c>
      <c r="J94" s="5">
        <f t="shared" si="115"/>
        <v>2192894.0159793012</v>
      </c>
      <c r="K94" s="5">
        <f>Ingresos!D10</f>
        <v>9000</v>
      </c>
      <c r="L94" s="175">
        <f t="shared" si="116"/>
        <v>243.6548906643668</v>
      </c>
      <c r="Y94" s="95"/>
      <c r="AC94" s="173">
        <v>2</v>
      </c>
      <c r="AD94" s="5">
        <f t="shared" ref="AD94:AE94" si="123">AD9</f>
        <v>1631297.1140043014</v>
      </c>
      <c r="AE94" s="5">
        <f t="shared" si="123"/>
        <v>4992</v>
      </c>
      <c r="AF94" s="5">
        <f t="shared" ref="AF94:AH94" si="124">AG9</f>
        <v>184400</v>
      </c>
      <c r="AG94" s="5">
        <f t="shared" si="124"/>
        <v>261317.40197499999</v>
      </c>
      <c r="AH94" s="5">
        <f t="shared" si="124"/>
        <v>65887.5</v>
      </c>
      <c r="AI94" s="5">
        <f t="shared" si="119"/>
        <v>45000</v>
      </c>
      <c r="AJ94" s="5">
        <f t="shared" si="120"/>
        <v>2192894.0159793012</v>
      </c>
      <c r="AK94" s="5">
        <f>Ingresos!D10</f>
        <v>9000</v>
      </c>
      <c r="AL94" s="175">
        <f t="shared" si="121"/>
        <v>243.6548906643668</v>
      </c>
    </row>
    <row r="95" spans="1:43" x14ac:dyDescent="0.25">
      <c r="C95" s="173">
        <v>3</v>
      </c>
      <c r="D95" s="5">
        <f t="shared" si="112"/>
        <v>1930492.3011960713</v>
      </c>
      <c r="E95" s="5">
        <f t="shared" si="112"/>
        <v>4992</v>
      </c>
      <c r="F95" s="5">
        <f t="shared" ref="F95:H95" si="125">G10</f>
        <v>184400</v>
      </c>
      <c r="G95" s="5">
        <f t="shared" si="125"/>
        <v>261317.40197499999</v>
      </c>
      <c r="H95" s="5">
        <f t="shared" si="125"/>
        <v>65887.5</v>
      </c>
      <c r="I95" s="5">
        <f t="shared" si="114"/>
        <v>50000</v>
      </c>
      <c r="J95" s="5">
        <f t="shared" si="115"/>
        <v>2497089.2031710711</v>
      </c>
      <c r="K95" s="5">
        <f>Ingresos!D11</f>
        <v>10000</v>
      </c>
      <c r="L95" s="175">
        <f t="shared" si="116"/>
        <v>249.7089203171071</v>
      </c>
      <c r="Y95" s="95"/>
      <c r="AC95" s="173">
        <v>3</v>
      </c>
      <c r="AD95" s="5">
        <f t="shared" ref="AD95:AE95" si="126">AD10</f>
        <v>1930492.3011960713</v>
      </c>
      <c r="AE95" s="5">
        <f t="shared" si="126"/>
        <v>4992</v>
      </c>
      <c r="AF95" s="5">
        <f t="shared" ref="AF95:AH95" si="127">AG10</f>
        <v>184400</v>
      </c>
      <c r="AG95" s="5">
        <f t="shared" si="127"/>
        <v>261317.40197499999</v>
      </c>
      <c r="AH95" s="5">
        <f t="shared" si="127"/>
        <v>65887.5</v>
      </c>
      <c r="AI95" s="5">
        <f t="shared" si="119"/>
        <v>50000</v>
      </c>
      <c r="AJ95" s="5">
        <f t="shared" si="120"/>
        <v>2497089.2031710711</v>
      </c>
      <c r="AK95" s="5">
        <f>Ingresos!D11</f>
        <v>10000</v>
      </c>
      <c r="AL95" s="175">
        <f t="shared" si="121"/>
        <v>249.7089203171071</v>
      </c>
    </row>
    <row r="96" spans="1:43" x14ac:dyDescent="0.25">
      <c r="C96" s="173">
        <v>4</v>
      </c>
      <c r="D96" s="5">
        <f t="shared" si="112"/>
        <v>2229687.4883878417</v>
      </c>
      <c r="E96" s="5">
        <f t="shared" si="112"/>
        <v>4992</v>
      </c>
      <c r="F96" s="5">
        <f t="shared" ref="F96:H96" si="128">G11</f>
        <v>184400</v>
      </c>
      <c r="G96" s="5">
        <f t="shared" si="128"/>
        <v>321798.83597499999</v>
      </c>
      <c r="H96" s="5">
        <f t="shared" si="128"/>
        <v>95722.5</v>
      </c>
      <c r="I96" s="5">
        <f t="shared" si="114"/>
        <v>55000</v>
      </c>
      <c r="J96" s="5">
        <f t="shared" si="115"/>
        <v>2891600.8243628419</v>
      </c>
      <c r="K96" s="5">
        <f>Ingresos!D12</f>
        <v>11000</v>
      </c>
      <c r="L96" s="175">
        <f t="shared" si="116"/>
        <v>262.87280221480381</v>
      </c>
      <c r="Y96" s="95"/>
      <c r="AC96" s="173">
        <v>4</v>
      </c>
      <c r="AD96" s="5">
        <f t="shared" ref="AD96:AE96" si="129">AD11</f>
        <v>2229687.4883878417</v>
      </c>
      <c r="AE96" s="5">
        <f t="shared" si="129"/>
        <v>4992</v>
      </c>
      <c r="AF96" s="5">
        <f t="shared" ref="AF96:AH96" si="130">AG11</f>
        <v>184400</v>
      </c>
      <c r="AG96" s="5">
        <f t="shared" si="130"/>
        <v>321798.83597499999</v>
      </c>
      <c r="AH96" s="5">
        <f t="shared" si="130"/>
        <v>95722.5</v>
      </c>
      <c r="AI96" s="5">
        <f t="shared" si="119"/>
        <v>55000</v>
      </c>
      <c r="AJ96" s="5">
        <f t="shared" si="120"/>
        <v>2891600.8243628419</v>
      </c>
      <c r="AK96" s="5">
        <f>Ingresos!D12</f>
        <v>11000</v>
      </c>
      <c r="AL96" s="175">
        <f t="shared" si="121"/>
        <v>262.87280221480381</v>
      </c>
    </row>
    <row r="97" spans="1:38" x14ac:dyDescent="0.25">
      <c r="C97" s="173">
        <v>5</v>
      </c>
      <c r="D97" s="5">
        <f t="shared" si="112"/>
        <v>2528882.6755796112</v>
      </c>
      <c r="E97" s="5">
        <f t="shared" si="112"/>
        <v>4992</v>
      </c>
      <c r="F97" s="5">
        <f t="shared" ref="F97:H97" si="131">G12</f>
        <v>184400</v>
      </c>
      <c r="G97" s="5">
        <f t="shared" si="131"/>
        <v>321798.83597499999</v>
      </c>
      <c r="H97" s="5">
        <f t="shared" si="131"/>
        <v>95722.5</v>
      </c>
      <c r="I97" s="5">
        <f t="shared" si="114"/>
        <v>55000</v>
      </c>
      <c r="J97" s="5">
        <f t="shared" si="115"/>
        <v>3190796.0115546114</v>
      </c>
      <c r="K97" s="5">
        <f>Ingresos!D13</f>
        <v>11000</v>
      </c>
      <c r="L97" s="175">
        <f t="shared" si="116"/>
        <v>290.07236468678286</v>
      </c>
      <c r="Y97" s="95"/>
      <c r="AC97" s="173">
        <v>5</v>
      </c>
      <c r="AD97" s="5">
        <f t="shared" ref="AD97:AE97" si="132">AD12</f>
        <v>2528882.6755796112</v>
      </c>
      <c r="AE97" s="5">
        <f t="shared" si="132"/>
        <v>4992</v>
      </c>
      <c r="AF97" s="5">
        <f t="shared" ref="AF97:AH97" si="133">AG12</f>
        <v>184400</v>
      </c>
      <c r="AG97" s="5">
        <f t="shared" si="133"/>
        <v>321798.83597499999</v>
      </c>
      <c r="AH97" s="5">
        <f t="shared" si="133"/>
        <v>95722.5</v>
      </c>
      <c r="AI97" s="5">
        <f t="shared" si="119"/>
        <v>55000</v>
      </c>
      <c r="AJ97" s="5">
        <f t="shared" si="120"/>
        <v>3190796.0115546114</v>
      </c>
      <c r="AK97" s="5">
        <f>Ingresos!D13</f>
        <v>11000</v>
      </c>
      <c r="AL97" s="175">
        <f t="shared" si="121"/>
        <v>290.07236468678286</v>
      </c>
    </row>
    <row r="98" spans="1:38" x14ac:dyDescent="0.25">
      <c r="C98" s="173">
        <v>6</v>
      </c>
      <c r="D98" s="5">
        <f t="shared" si="112"/>
        <v>2828077.8627713816</v>
      </c>
      <c r="E98" s="5">
        <f t="shared" si="112"/>
        <v>4992</v>
      </c>
      <c r="F98" s="5">
        <f t="shared" ref="F98:H98" si="134">G13</f>
        <v>184400</v>
      </c>
      <c r="G98" s="5">
        <f t="shared" si="134"/>
        <v>321798.83597499999</v>
      </c>
      <c r="H98" s="5">
        <f t="shared" si="134"/>
        <v>95722.5</v>
      </c>
      <c r="I98" s="5">
        <f t="shared" si="114"/>
        <v>55000</v>
      </c>
      <c r="J98" s="5">
        <f t="shared" si="115"/>
        <v>3489991.1987463818</v>
      </c>
      <c r="K98" s="5">
        <f>Ingresos!D14</f>
        <v>11000</v>
      </c>
      <c r="L98" s="175">
        <f t="shared" si="116"/>
        <v>317.27192715876197</v>
      </c>
      <c r="Y98" s="95"/>
      <c r="AC98" s="173">
        <v>6</v>
      </c>
      <c r="AD98" s="5">
        <f t="shared" ref="AD98:AE98" si="135">AD13</f>
        <v>2828077.8627713816</v>
      </c>
      <c r="AE98" s="5">
        <f t="shared" si="135"/>
        <v>4992</v>
      </c>
      <c r="AF98" s="5">
        <f t="shared" ref="AF98:AH98" si="136">AG13</f>
        <v>184400</v>
      </c>
      <c r="AG98" s="5">
        <f t="shared" si="136"/>
        <v>321798.83597499999</v>
      </c>
      <c r="AH98" s="5">
        <f t="shared" si="136"/>
        <v>95722.5</v>
      </c>
      <c r="AI98" s="5">
        <f t="shared" si="119"/>
        <v>55000</v>
      </c>
      <c r="AJ98" s="5">
        <f t="shared" si="120"/>
        <v>3489991.1987463818</v>
      </c>
      <c r="AK98" s="5">
        <f>Ingresos!D14</f>
        <v>11000</v>
      </c>
      <c r="AL98" s="175">
        <f t="shared" si="121"/>
        <v>317.27192715876197</v>
      </c>
    </row>
    <row r="99" spans="1:38" x14ac:dyDescent="0.25">
      <c r="C99" s="173">
        <v>7</v>
      </c>
      <c r="D99" s="5">
        <f t="shared" si="112"/>
        <v>3127273.0499631511</v>
      </c>
      <c r="E99" s="5">
        <f t="shared" si="112"/>
        <v>7512</v>
      </c>
      <c r="F99" s="5">
        <f t="shared" ref="F99:H99" si="137">G14</f>
        <v>230800</v>
      </c>
      <c r="G99" s="5">
        <f t="shared" si="137"/>
        <v>355276.90977500007</v>
      </c>
      <c r="H99" s="5">
        <f t="shared" si="137"/>
        <v>108007.5</v>
      </c>
      <c r="I99" s="5">
        <f t="shared" si="114"/>
        <v>55000</v>
      </c>
      <c r="J99" s="5">
        <f t="shared" si="115"/>
        <v>3883869.4597381512</v>
      </c>
      <c r="K99" s="5">
        <f>Ingresos!D15</f>
        <v>11000</v>
      </c>
      <c r="L99" s="175">
        <f t="shared" si="116"/>
        <v>353.07904179437736</v>
      </c>
      <c r="Y99" s="95"/>
      <c r="AC99" s="173">
        <v>7</v>
      </c>
      <c r="AD99" s="5">
        <f t="shared" ref="AD99:AE99" si="138">AD14</f>
        <v>3127273.0499631511</v>
      </c>
      <c r="AE99" s="5">
        <f t="shared" si="138"/>
        <v>7512</v>
      </c>
      <c r="AF99" s="5">
        <f t="shared" ref="AF99:AH99" si="139">AG14</f>
        <v>230800</v>
      </c>
      <c r="AG99" s="5">
        <f t="shared" si="139"/>
        <v>355276.90977500007</v>
      </c>
      <c r="AH99" s="5">
        <f t="shared" si="139"/>
        <v>108007.5</v>
      </c>
      <c r="AI99" s="5">
        <f t="shared" si="119"/>
        <v>55000</v>
      </c>
      <c r="AJ99" s="5">
        <f t="shared" si="120"/>
        <v>3883869.4597381512</v>
      </c>
      <c r="AK99" s="5">
        <f>Ingresos!D15</f>
        <v>11000</v>
      </c>
      <c r="AL99" s="175">
        <f t="shared" si="121"/>
        <v>353.07904179437736</v>
      </c>
    </row>
    <row r="100" spans="1:38" x14ac:dyDescent="0.25">
      <c r="C100" s="173">
        <v>8</v>
      </c>
      <c r="D100" s="5">
        <f t="shared" si="112"/>
        <v>3426468.2371549215</v>
      </c>
      <c r="E100" s="5">
        <f t="shared" si="112"/>
        <v>7512</v>
      </c>
      <c r="F100" s="5">
        <f t="shared" ref="F100:H100" si="140">G15</f>
        <v>230800</v>
      </c>
      <c r="G100" s="5">
        <f t="shared" si="140"/>
        <v>355276.90977500007</v>
      </c>
      <c r="H100" s="5">
        <f t="shared" si="140"/>
        <v>108007.5</v>
      </c>
      <c r="I100" s="5">
        <f t="shared" si="114"/>
        <v>55000</v>
      </c>
      <c r="J100" s="5">
        <f t="shared" si="115"/>
        <v>4183064.6469299216</v>
      </c>
      <c r="K100" s="5">
        <f>Ingresos!D16</f>
        <v>11000</v>
      </c>
      <c r="L100" s="175">
        <f t="shared" si="116"/>
        <v>380.27860426635652</v>
      </c>
      <c r="Y100" s="95"/>
      <c r="AC100" s="173">
        <v>8</v>
      </c>
      <c r="AD100" s="5">
        <f t="shared" ref="AD100:AE100" si="141">AD15</f>
        <v>3426468.2371549215</v>
      </c>
      <c r="AE100" s="5">
        <f t="shared" si="141"/>
        <v>7512</v>
      </c>
      <c r="AF100" s="5">
        <f t="shared" ref="AF100:AH100" si="142">AG15</f>
        <v>230800</v>
      </c>
      <c r="AG100" s="5">
        <f t="shared" si="142"/>
        <v>355276.90977500007</v>
      </c>
      <c r="AH100" s="5">
        <f t="shared" si="142"/>
        <v>108007.5</v>
      </c>
      <c r="AI100" s="5">
        <f t="shared" si="119"/>
        <v>55000</v>
      </c>
      <c r="AJ100" s="5">
        <f t="shared" si="120"/>
        <v>4183064.6469299216</v>
      </c>
      <c r="AK100" s="5">
        <f>Ingresos!D16</f>
        <v>11000</v>
      </c>
      <c r="AL100" s="175">
        <f t="shared" si="121"/>
        <v>380.27860426635652</v>
      </c>
    </row>
    <row r="101" spans="1:38" x14ac:dyDescent="0.25">
      <c r="C101" s="173">
        <v>9</v>
      </c>
      <c r="D101" s="5">
        <f t="shared" si="112"/>
        <v>3725663.424346691</v>
      </c>
      <c r="E101" s="5">
        <f t="shared" si="112"/>
        <v>7512</v>
      </c>
      <c r="F101" s="5">
        <f t="shared" ref="F101:H101" si="143">G16</f>
        <v>230800</v>
      </c>
      <c r="G101" s="5">
        <f t="shared" si="143"/>
        <v>355276.90977500007</v>
      </c>
      <c r="H101" s="5">
        <f t="shared" si="143"/>
        <v>108007.5</v>
      </c>
      <c r="I101" s="5">
        <f t="shared" si="114"/>
        <v>55000</v>
      </c>
      <c r="J101" s="5">
        <f t="shared" si="115"/>
        <v>4482259.8341216911</v>
      </c>
      <c r="K101" s="5">
        <f>Ingresos!D17</f>
        <v>11000</v>
      </c>
      <c r="L101" s="175">
        <f t="shared" si="116"/>
        <v>407.47816673833557</v>
      </c>
      <c r="Y101" s="95"/>
      <c r="AC101" s="173">
        <v>9</v>
      </c>
      <c r="AD101" s="5">
        <f t="shared" ref="AD101:AE101" si="144">AD16</f>
        <v>3725663.424346691</v>
      </c>
      <c r="AE101" s="5">
        <f t="shared" si="144"/>
        <v>7512</v>
      </c>
      <c r="AF101" s="5">
        <f t="shared" ref="AF101:AH101" si="145">AG16</f>
        <v>230800</v>
      </c>
      <c r="AG101" s="5">
        <f t="shared" si="145"/>
        <v>355276.90977500007</v>
      </c>
      <c r="AH101" s="5">
        <f t="shared" si="145"/>
        <v>108007.5</v>
      </c>
      <c r="AI101" s="5">
        <f t="shared" si="119"/>
        <v>55000</v>
      </c>
      <c r="AJ101" s="5">
        <f t="shared" si="120"/>
        <v>4482259.8341216911</v>
      </c>
      <c r="AK101" s="5">
        <f>Ingresos!D17</f>
        <v>11000</v>
      </c>
      <c r="AL101" s="175">
        <f t="shared" si="121"/>
        <v>407.47816673833557</v>
      </c>
    </row>
    <row r="102" spans="1:38" ht="15.75" thickBot="1" x14ac:dyDescent="0.3">
      <c r="C102" s="174">
        <v>10</v>
      </c>
      <c r="D102" s="62">
        <f t="shared" si="112"/>
        <v>4024858.6115384623</v>
      </c>
      <c r="E102" s="62">
        <f t="shared" si="112"/>
        <v>7512</v>
      </c>
      <c r="F102" s="62">
        <f t="shared" ref="F102:H102" si="146">G17</f>
        <v>230800</v>
      </c>
      <c r="G102" s="62">
        <f t="shared" si="146"/>
        <v>355276.90977500007</v>
      </c>
      <c r="H102" s="62">
        <f t="shared" si="146"/>
        <v>108007.5</v>
      </c>
      <c r="I102" s="62">
        <f t="shared" si="114"/>
        <v>55000</v>
      </c>
      <c r="J102" s="62">
        <f t="shared" si="115"/>
        <v>4781455.0213134624</v>
      </c>
      <c r="K102" s="62">
        <f>Ingresos!D18</f>
        <v>11000</v>
      </c>
      <c r="L102" s="176">
        <f t="shared" si="116"/>
        <v>434.67772921031474</v>
      </c>
      <c r="Y102" s="95"/>
      <c r="AC102" s="174">
        <v>10</v>
      </c>
      <c r="AD102" s="62">
        <f t="shared" ref="AD102:AE102" si="147">AD17</f>
        <v>4024858.6115384623</v>
      </c>
      <c r="AE102" s="62">
        <f t="shared" si="147"/>
        <v>7512</v>
      </c>
      <c r="AF102" s="62">
        <f t="shared" ref="AF102:AH102" si="148">AG17</f>
        <v>230800</v>
      </c>
      <c r="AG102" s="62">
        <f t="shared" si="148"/>
        <v>355276.90977500007</v>
      </c>
      <c r="AH102" s="62">
        <f t="shared" si="148"/>
        <v>108007.5</v>
      </c>
      <c r="AI102" s="62">
        <f t="shared" si="119"/>
        <v>55000</v>
      </c>
      <c r="AJ102" s="62">
        <f t="shared" si="120"/>
        <v>4781455.0213134624</v>
      </c>
      <c r="AK102" s="62">
        <f>Ingresos!D18</f>
        <v>11000</v>
      </c>
      <c r="AL102" s="176">
        <f t="shared" si="121"/>
        <v>434.67772921031474</v>
      </c>
    </row>
    <row r="103" spans="1:38" ht="15.75" thickBot="1" x14ac:dyDescent="0.3">
      <c r="C103" s="157" t="s">
        <v>169</v>
      </c>
      <c r="D103" s="60">
        <f t="shared" ref="D103:E103" si="149">SUM(D92:D102)</f>
        <v>26784802.691754967</v>
      </c>
      <c r="E103" s="60">
        <f t="shared" si="149"/>
        <v>57504</v>
      </c>
      <c r="F103" s="60">
        <f t="shared" ref="F103" si="150">SUM(F92:F102)</f>
        <v>1981600</v>
      </c>
      <c r="G103" s="60">
        <f t="shared" ref="G103" si="151">SUM(G92:G102)</f>
        <v>3170456.3529500002</v>
      </c>
      <c r="H103" s="60">
        <f t="shared" ref="H103" si="152">SUM(H92:H102)</f>
        <v>916860</v>
      </c>
      <c r="I103" s="60">
        <f>SUM(I92:I102)</f>
        <v>520000</v>
      </c>
      <c r="J103" s="114">
        <f>SUM(J92:J102)</f>
        <v>33431223.044704963</v>
      </c>
      <c r="Y103" s="95"/>
      <c r="AC103" s="157" t="s">
        <v>169</v>
      </c>
      <c r="AD103" s="60">
        <f t="shared" ref="AD103" si="153">SUM(AD92:AD102)</f>
        <v>26784802.691754967</v>
      </c>
      <c r="AE103" s="60">
        <f t="shared" ref="AE103" si="154">SUM(AE92:AE102)</f>
        <v>57504</v>
      </c>
      <c r="AF103" s="60">
        <f t="shared" ref="AF103" si="155">SUM(AF92:AF102)</f>
        <v>1981600</v>
      </c>
      <c r="AG103" s="60">
        <f t="shared" ref="AG103" si="156">SUM(AG92:AG102)</f>
        <v>3170456.3529500002</v>
      </c>
      <c r="AH103" s="60">
        <f t="shared" ref="AH103" si="157">SUM(AH92:AH102)</f>
        <v>916860</v>
      </c>
      <c r="AI103" s="60">
        <f>SUM(AI92:AI102)</f>
        <v>520000</v>
      </c>
      <c r="AJ103" s="114">
        <f>SUM(AJ92:AJ102)</f>
        <v>33431223.044704963</v>
      </c>
    </row>
    <row r="104" spans="1:38" s="61" customFormat="1" ht="15.75" thickBot="1" x14ac:dyDescent="0.3">
      <c r="Y104" s="99"/>
    </row>
    <row r="105" spans="1:38" x14ac:dyDescent="0.25">
      <c r="Y105" s="95"/>
    </row>
    <row r="106" spans="1:38" ht="30" x14ac:dyDescent="0.25">
      <c r="D106" s="6" t="s">
        <v>520</v>
      </c>
      <c r="E106" s="6" t="s">
        <v>519</v>
      </c>
      <c r="F106" s="6" t="s">
        <v>518</v>
      </c>
      <c r="G106" s="6"/>
      <c r="Y106" s="95"/>
      <c r="AD106" s="6" t="s">
        <v>520</v>
      </c>
      <c r="AE106" s="6" t="s">
        <v>519</v>
      </c>
      <c r="AF106" s="6" t="s">
        <v>518</v>
      </c>
      <c r="AG106" s="6"/>
    </row>
    <row r="107" spans="1:38" x14ac:dyDescent="0.25">
      <c r="A107" s="3" t="s">
        <v>402</v>
      </c>
      <c r="D107" s="85" t="str">
        <f>F6</f>
        <v>Mano de Obra Producción (US$)</v>
      </c>
      <c r="E107" s="5">
        <f>F12</f>
        <v>1355789.25</v>
      </c>
      <c r="F107" s="89">
        <f>E107/$K$97</f>
        <v>123.25356818181818</v>
      </c>
      <c r="G107" s="6"/>
      <c r="Y107" s="95"/>
      <c r="AA107" s="3" t="s">
        <v>402</v>
      </c>
      <c r="AD107" s="85" t="str">
        <f>D107</f>
        <v>Mano de Obra Producción (US$)</v>
      </c>
      <c r="AE107" s="5">
        <f>AD80</f>
        <v>1355789.25</v>
      </c>
      <c r="AF107" s="89">
        <f>AE107/$AK$102</f>
        <v>123.25356818181818</v>
      </c>
      <c r="AG107" s="6"/>
    </row>
    <row r="108" spans="1:38" x14ac:dyDescent="0.25">
      <c r="D108" s="85" t="str">
        <f>J6</f>
        <v>Amortizaciones (US$)</v>
      </c>
      <c r="E108" s="5">
        <f>J12</f>
        <v>1802586.3454704816</v>
      </c>
      <c r="F108" s="89">
        <f t="shared" ref="F108:F124" si="158">E108/$K$97</f>
        <v>163.87148595186196</v>
      </c>
      <c r="G108" s="6"/>
      <c r="Y108" s="95"/>
      <c r="AC108" s="415"/>
      <c r="AD108" s="423" t="str">
        <f t="shared" ref="AD108:AD118" si="159">D108</f>
        <v>Amortizaciones (US$)</v>
      </c>
      <c r="AE108" s="400">
        <f>AE80</f>
        <v>1948348.5018704818</v>
      </c>
      <c r="AF108" s="424">
        <f t="shared" ref="AF108:AF125" si="160">AE108/$AK$102</f>
        <v>177.12259107913471</v>
      </c>
      <c r="AG108" s="6"/>
    </row>
    <row r="109" spans="1:38" x14ac:dyDescent="0.25">
      <c r="D109" s="85" t="str">
        <f>L6</f>
        <v>Mantenimiento (US$)</v>
      </c>
      <c r="E109" s="5">
        <f>L12</f>
        <v>1000000</v>
      </c>
      <c r="F109" s="89">
        <f t="shared" si="158"/>
        <v>90.909090909090907</v>
      </c>
      <c r="G109" s="6"/>
      <c r="Y109" s="95"/>
      <c r="AD109" s="85" t="str">
        <f t="shared" si="159"/>
        <v>Mantenimiento (US$)</v>
      </c>
      <c r="AE109" s="5">
        <f>AF80</f>
        <v>1000000</v>
      </c>
      <c r="AF109" s="89">
        <f t="shared" si="160"/>
        <v>90.909090909090907</v>
      </c>
      <c r="AG109" s="6"/>
    </row>
    <row r="110" spans="1:38" x14ac:dyDescent="0.25">
      <c r="D110" s="85" t="str">
        <f>M6</f>
        <v>Seguros (US$)</v>
      </c>
      <c r="E110" s="5">
        <f>M12</f>
        <v>170000</v>
      </c>
      <c r="F110" s="89">
        <f t="shared" si="158"/>
        <v>15.454545454545455</v>
      </c>
      <c r="G110" s="6"/>
      <c r="Y110" s="95"/>
      <c r="AD110" s="85" t="str">
        <f t="shared" si="159"/>
        <v>Seguros (US$)</v>
      </c>
      <c r="AE110" s="5">
        <f>AG80</f>
        <v>170000</v>
      </c>
      <c r="AF110" s="89">
        <f t="shared" si="160"/>
        <v>15.454545454545455</v>
      </c>
      <c r="AG110" s="6"/>
    </row>
    <row r="111" spans="1:38" x14ac:dyDescent="0.25">
      <c r="D111" s="85" t="str">
        <f>N6</f>
        <v>Gastos de Laboratorio (US$)</v>
      </c>
      <c r="E111" s="5">
        <f>N12</f>
        <v>120000</v>
      </c>
      <c r="F111" s="89">
        <f t="shared" si="158"/>
        <v>10.909090909090908</v>
      </c>
      <c r="G111" s="6"/>
      <c r="Y111" s="95"/>
      <c r="AD111" s="85" t="str">
        <f t="shared" si="159"/>
        <v>Gastos de Laboratorio (US$)</v>
      </c>
      <c r="AE111" s="5">
        <f>AH80</f>
        <v>120000</v>
      </c>
      <c r="AF111" s="89">
        <f t="shared" si="160"/>
        <v>10.909090909090908</v>
      </c>
      <c r="AG111" s="6"/>
    </row>
    <row r="112" spans="1:38" x14ac:dyDescent="0.25">
      <c r="D112" s="85" t="str">
        <f>O6</f>
        <v>Patentes y Regalías (US$)</v>
      </c>
      <c r="E112" s="5">
        <f>O12</f>
        <v>20000</v>
      </c>
      <c r="F112" s="89">
        <f t="shared" si="158"/>
        <v>1.8181818181818181</v>
      </c>
      <c r="G112" s="6"/>
      <c r="Y112" s="95"/>
      <c r="AD112" s="85" t="str">
        <f t="shared" si="159"/>
        <v>Patentes y Regalías (US$)</v>
      </c>
      <c r="AE112" s="5">
        <f>AI80</f>
        <v>20000</v>
      </c>
      <c r="AF112" s="89">
        <f t="shared" si="160"/>
        <v>1.8181818181818181</v>
      </c>
      <c r="AG112" s="6"/>
    </row>
    <row r="113" spans="4:33" x14ac:dyDescent="0.25">
      <c r="D113" s="85" t="str">
        <f>D23</f>
        <v>Mano de Obra Admin (US$)</v>
      </c>
      <c r="E113" s="5">
        <f>D29</f>
        <v>376143.75</v>
      </c>
      <c r="F113" s="89">
        <f t="shared" si="158"/>
        <v>34.194886363636364</v>
      </c>
      <c r="G113" s="6"/>
      <c r="Y113" s="95"/>
      <c r="AD113" s="85" t="str">
        <f t="shared" si="159"/>
        <v>Mano de Obra Admin (US$)</v>
      </c>
      <c r="AE113" s="5">
        <f>AJ80</f>
        <v>376143.75</v>
      </c>
      <c r="AF113" s="89">
        <f t="shared" si="160"/>
        <v>34.194886363636364</v>
      </c>
      <c r="AG113" s="6"/>
    </row>
    <row r="114" spans="4:33" x14ac:dyDescent="0.25">
      <c r="D114" s="85" t="str">
        <f>E23</f>
        <v>Gastos de Promoción (US$)</v>
      </c>
      <c r="E114" s="5">
        <f>E29</f>
        <v>50000</v>
      </c>
      <c r="F114" s="89">
        <f t="shared" si="158"/>
        <v>4.5454545454545459</v>
      </c>
      <c r="G114" s="6"/>
      <c r="Y114" s="95"/>
      <c r="AD114" s="85" t="str">
        <f t="shared" si="159"/>
        <v>Gastos de Promoción (US$)</v>
      </c>
      <c r="AE114" s="5">
        <f>AK80</f>
        <v>50000</v>
      </c>
      <c r="AF114" s="89">
        <f t="shared" si="160"/>
        <v>4.5454545454545459</v>
      </c>
      <c r="AG114" s="6"/>
    </row>
    <row r="115" spans="4:33" x14ac:dyDescent="0.25">
      <c r="D115" s="85" t="str">
        <f>F23</f>
        <v>Otros Costos (Overhead) (US$)</v>
      </c>
      <c r="E115" s="5">
        <f>F29</f>
        <v>400000</v>
      </c>
      <c r="F115" s="89">
        <f t="shared" si="158"/>
        <v>36.363636363636367</v>
      </c>
      <c r="G115" s="6"/>
      <c r="Y115" s="95"/>
      <c r="AD115" s="85" t="str">
        <f t="shared" si="159"/>
        <v>Otros Costos (Overhead) (US$)</v>
      </c>
      <c r="AE115" s="5">
        <f>AL80</f>
        <v>400000</v>
      </c>
      <c r="AF115" s="89">
        <f t="shared" si="160"/>
        <v>36.363636363636367</v>
      </c>
      <c r="AG115" s="6"/>
    </row>
    <row r="116" spans="4:33" x14ac:dyDescent="0.25">
      <c r="D116" s="85" t="str">
        <f>D40</f>
        <v>Tasas Municipales (US$)</v>
      </c>
      <c r="E116" s="5">
        <f>D46</f>
        <v>10000</v>
      </c>
      <c r="F116" s="89">
        <f t="shared" si="158"/>
        <v>0.90909090909090906</v>
      </c>
      <c r="G116" s="6"/>
      <c r="Y116" s="95"/>
      <c r="AD116" s="85" t="str">
        <f t="shared" si="159"/>
        <v>Tasas Municipales (US$)</v>
      </c>
      <c r="AE116" s="5">
        <f>AM80</f>
        <v>10000</v>
      </c>
      <c r="AF116" s="89">
        <f t="shared" si="160"/>
        <v>0.90909090909090906</v>
      </c>
      <c r="AG116" s="6"/>
    </row>
    <row r="117" spans="4:33" x14ac:dyDescent="0.25">
      <c r="D117" s="85" t="str">
        <f>E40</f>
        <v>ICOSA (US$)</v>
      </c>
      <c r="E117" s="5">
        <f>E46</f>
        <v>592.59948599999996</v>
      </c>
      <c r="F117" s="89">
        <f t="shared" si="158"/>
        <v>5.3872680545454542E-2</v>
      </c>
      <c r="G117" s="6"/>
      <c r="Y117" s="95"/>
      <c r="AD117" s="85" t="str">
        <f t="shared" si="159"/>
        <v>ICOSA (US$)</v>
      </c>
      <c r="AE117" s="5">
        <f>AN80</f>
        <v>592.59948599999996</v>
      </c>
      <c r="AF117" s="89">
        <f t="shared" si="160"/>
        <v>5.3872680545454542E-2</v>
      </c>
      <c r="AG117" s="6"/>
    </row>
    <row r="118" spans="4:33" x14ac:dyDescent="0.25">
      <c r="D118" s="85" t="str">
        <f>F40</f>
        <v>Impuesto al Patrimonio (US$)</v>
      </c>
      <c r="E118" s="5">
        <f>F46</f>
        <v>159124.91439914386</v>
      </c>
      <c r="F118" s="89">
        <f t="shared" si="158"/>
        <v>14.465901309013079</v>
      </c>
      <c r="G118" s="6"/>
      <c r="Y118" s="95"/>
      <c r="AC118" s="415"/>
      <c r="AD118" s="423" t="str">
        <f t="shared" si="159"/>
        <v>Impuesto al Patrimonio (US$)</v>
      </c>
      <c r="AE118" s="400">
        <f>AO80</f>
        <v>44181.042495143884</v>
      </c>
      <c r="AF118" s="424">
        <f t="shared" si="160"/>
        <v>4.0164584086494441</v>
      </c>
      <c r="AG118" s="6"/>
    </row>
    <row r="119" spans="4:33" x14ac:dyDescent="0.25">
      <c r="D119" s="85" t="str">
        <f>D6</f>
        <v>Materias Primas (US$)</v>
      </c>
      <c r="E119" s="5">
        <f>D12</f>
        <v>2528882.6755796112</v>
      </c>
      <c r="F119" s="89">
        <f t="shared" si="158"/>
        <v>229.89842505269192</v>
      </c>
      <c r="Y119" s="95"/>
      <c r="AC119" s="415"/>
      <c r="AD119" s="423" t="str">
        <f>AP74</f>
        <v>Costos Financieros (US$)</v>
      </c>
      <c r="AE119" s="400">
        <f>AP80</f>
        <v>468521.217</v>
      </c>
      <c r="AF119" s="424">
        <f t="shared" si="160"/>
        <v>42.59283790909091</v>
      </c>
    </row>
    <row r="120" spans="4:33" x14ac:dyDescent="0.25">
      <c r="D120" s="85" t="str">
        <f>E6</f>
        <v>Materiales e Insumos (US$)</v>
      </c>
      <c r="E120" s="5">
        <f>E12</f>
        <v>4992</v>
      </c>
      <c r="F120" s="89">
        <f t="shared" si="158"/>
        <v>0.45381818181818184</v>
      </c>
      <c r="Y120" s="95"/>
      <c r="AD120" s="85" t="str">
        <f t="shared" ref="AD120:AD125" si="161">D119</f>
        <v>Materias Primas (US$)</v>
      </c>
      <c r="AE120" s="5">
        <f>AD97</f>
        <v>2528882.6755796112</v>
      </c>
      <c r="AF120" s="89">
        <f t="shared" si="160"/>
        <v>229.89842505269192</v>
      </c>
    </row>
    <row r="121" spans="4:33" x14ac:dyDescent="0.25">
      <c r="D121" s="85" t="str">
        <f>G6</f>
        <v>Combustibles y lubricantes (US$)</v>
      </c>
      <c r="E121" s="5">
        <f>G12</f>
        <v>184400</v>
      </c>
      <c r="F121" s="89">
        <f t="shared" si="158"/>
        <v>16.763636363636362</v>
      </c>
      <c r="Y121" s="95"/>
      <c r="AD121" s="85" t="str">
        <f t="shared" si="161"/>
        <v>Materiales e Insumos (US$)</v>
      </c>
      <c r="AE121" s="5">
        <f>AE97</f>
        <v>4992</v>
      </c>
      <c r="AF121" s="89">
        <f t="shared" si="160"/>
        <v>0.45381818181818184</v>
      </c>
    </row>
    <row r="122" spans="4:33" x14ac:dyDescent="0.25">
      <c r="D122" s="85" t="str">
        <f>H6</f>
        <v>Energía Eléctrica (US$)</v>
      </c>
      <c r="E122" s="5">
        <f>H12</f>
        <v>321798.83597499999</v>
      </c>
      <c r="F122" s="89">
        <f t="shared" si="158"/>
        <v>29.254439634090907</v>
      </c>
      <c r="Y122" s="95"/>
      <c r="AD122" s="85" t="str">
        <f t="shared" si="161"/>
        <v>Combustibles y lubricantes (US$)</v>
      </c>
      <c r="AE122" s="5">
        <f>AF97</f>
        <v>184400</v>
      </c>
      <c r="AF122" s="89">
        <f t="shared" si="160"/>
        <v>16.763636363636362</v>
      </c>
    </row>
    <row r="123" spans="4:33" x14ac:dyDescent="0.25">
      <c r="D123" s="85" t="str">
        <f>I6</f>
        <v>Agua (US$)</v>
      </c>
      <c r="E123" s="5">
        <f>I12</f>
        <v>95722.5</v>
      </c>
      <c r="F123" s="89">
        <f t="shared" si="158"/>
        <v>8.7020454545454538</v>
      </c>
      <c r="Y123" s="95"/>
      <c r="AD123" s="85" t="str">
        <f t="shared" si="161"/>
        <v>Energía Eléctrica (US$)</v>
      </c>
      <c r="AE123" s="5">
        <f>AG97</f>
        <v>321798.83597499999</v>
      </c>
      <c r="AF123" s="89">
        <f t="shared" si="160"/>
        <v>29.254439634090907</v>
      </c>
    </row>
    <row r="124" spans="4:33" x14ac:dyDescent="0.25">
      <c r="D124" s="85" t="str">
        <f>K6</f>
        <v>Envases (US$)</v>
      </c>
      <c r="E124" s="5">
        <f>K12</f>
        <v>55000</v>
      </c>
      <c r="F124" s="89">
        <f t="shared" si="158"/>
        <v>5</v>
      </c>
      <c r="Y124" s="95"/>
      <c r="AD124" s="85" t="str">
        <f t="shared" si="161"/>
        <v>Agua (US$)</v>
      </c>
      <c r="AE124" s="5">
        <f>AH97</f>
        <v>95722.5</v>
      </c>
      <c r="AF124" s="89">
        <f t="shared" si="160"/>
        <v>8.7020454545454538</v>
      </c>
    </row>
    <row r="125" spans="4:33" x14ac:dyDescent="0.25">
      <c r="E125" s="7">
        <f>SUM(E107:E124)</f>
        <v>8655032.8709102366</v>
      </c>
      <c r="F125" s="86">
        <f>SUM(F107:F124)</f>
        <v>786.82117008274872</v>
      </c>
      <c r="Y125" s="95"/>
      <c r="AD125" s="85" t="str">
        <f t="shared" si="161"/>
        <v>Envases (US$)</v>
      </c>
      <c r="AE125" s="5">
        <f>AI97</f>
        <v>55000</v>
      </c>
      <c r="AF125" s="89">
        <f t="shared" si="160"/>
        <v>5</v>
      </c>
    </row>
    <row r="126" spans="4:33" x14ac:dyDescent="0.25">
      <c r="Y126" s="95"/>
      <c r="AE126" s="7">
        <f>SUM(AE107:AE125)</f>
        <v>9154372.3724062368</v>
      </c>
      <c r="AF126" s="86">
        <f>SUM(AF107:AF125)</f>
        <v>832.21567021874876</v>
      </c>
    </row>
    <row r="127" spans="4:33" x14ac:dyDescent="0.25">
      <c r="Y127" s="95"/>
    </row>
    <row r="128" spans="4:33" x14ac:dyDescent="0.25">
      <c r="Y128" s="95"/>
    </row>
    <row r="129" spans="25:25" x14ac:dyDescent="0.25">
      <c r="Y129" s="95"/>
    </row>
  </sheetData>
  <mergeCells count="2">
    <mergeCell ref="A2:X2"/>
    <mergeCell ref="AA2:AX2"/>
  </mergeCells>
  <pageMargins left="0.7" right="0.7" top="0.75" bottom="0.75" header="0.3" footer="0.3"/>
  <pageSetup orientation="portrait" horizont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3EDAA-01F5-49E2-8A5C-6C10C712B5A1}">
  <dimension ref="B1:G24"/>
  <sheetViews>
    <sheetView workbookViewId="0">
      <selection activeCell="C32" sqref="C32"/>
    </sheetView>
  </sheetViews>
  <sheetFormatPr baseColWidth="10" defaultRowHeight="15" x14ac:dyDescent="0.25"/>
  <cols>
    <col min="1" max="1" width="2.7109375" customWidth="1"/>
    <col min="3" max="3" width="68.7109375" bestFit="1" customWidth="1"/>
    <col min="6" max="6" width="50.85546875" bestFit="1" customWidth="1"/>
    <col min="7" max="7" width="7.7109375" style="85" customWidth="1"/>
  </cols>
  <sheetData>
    <row r="1" spans="2:7" ht="6" customHeight="1" thickBot="1" x14ac:dyDescent="0.3"/>
    <row r="2" spans="2:7" ht="15.75" thickBot="1" x14ac:dyDescent="0.3">
      <c r="C2" s="3" t="s">
        <v>402</v>
      </c>
      <c r="D2" s="169" t="s">
        <v>6</v>
      </c>
      <c r="E2" s="82" t="s">
        <v>422</v>
      </c>
    </row>
    <row r="3" spans="2:7" ht="15.75" thickBot="1" x14ac:dyDescent="0.3">
      <c r="B3" s="168" t="s">
        <v>734</v>
      </c>
      <c r="C3" s="184"/>
      <c r="D3" s="187">
        <f>D4+D12+D18</f>
        <v>8228889.1209102366</v>
      </c>
    </row>
    <row r="4" spans="2:7" x14ac:dyDescent="0.25">
      <c r="B4" s="502" t="s">
        <v>735</v>
      </c>
      <c r="C4" s="503"/>
      <c r="D4" s="186">
        <f>SUM(D5:D11)</f>
        <v>5686585.2615546109</v>
      </c>
      <c r="E4" s="84">
        <v>0.66</v>
      </c>
      <c r="F4" t="s">
        <v>423</v>
      </c>
      <c r="G4" s="192">
        <f>D4/$D$23</f>
        <v>0.65702641993046085</v>
      </c>
    </row>
    <row r="5" spans="2:7" x14ac:dyDescent="0.25">
      <c r="B5" s="166"/>
      <c r="C5" s="165" t="s">
        <v>424</v>
      </c>
      <c r="D5" s="180">
        <f>Costos!D12</f>
        <v>2528882.6755796112</v>
      </c>
      <c r="E5" t="s">
        <v>425</v>
      </c>
      <c r="F5" t="s">
        <v>423</v>
      </c>
      <c r="G5" s="192">
        <f>D5/$D$23</f>
        <v>0.29218637448267165</v>
      </c>
    </row>
    <row r="6" spans="2:7" x14ac:dyDescent="0.25">
      <c r="B6" s="166"/>
      <c r="C6" s="165" t="s">
        <v>426</v>
      </c>
      <c r="D6" s="180">
        <f>Costos!F12</f>
        <v>1355789.25</v>
      </c>
      <c r="E6" t="s">
        <v>427</v>
      </c>
      <c r="F6" t="s">
        <v>423</v>
      </c>
      <c r="G6" s="192">
        <f>D6/$D$23</f>
        <v>0.15664749865443478</v>
      </c>
    </row>
    <row r="7" spans="2:7" x14ac:dyDescent="0.25">
      <c r="B7" s="166"/>
      <c r="C7" s="165" t="s">
        <v>451</v>
      </c>
      <c r="D7" s="180">
        <f>Costos!H12+Costos!I12+Costos!G12</f>
        <v>601921.33597499994</v>
      </c>
      <c r="E7" t="s">
        <v>427</v>
      </c>
      <c r="F7" t="s">
        <v>423</v>
      </c>
      <c r="G7" s="193">
        <f>D7/$D$23</f>
        <v>6.9545817439708557E-2</v>
      </c>
    </row>
    <row r="8" spans="2:7" x14ac:dyDescent="0.25">
      <c r="B8" s="166"/>
      <c r="C8" s="165" t="s">
        <v>100</v>
      </c>
      <c r="D8" s="180">
        <f>Costos!L12</f>
        <v>1000000</v>
      </c>
      <c r="E8" t="s">
        <v>431</v>
      </c>
      <c r="F8" t="s">
        <v>432</v>
      </c>
      <c r="G8" s="193">
        <f>D8/$D$23</f>
        <v>0.11553971139278083</v>
      </c>
    </row>
    <row r="9" spans="2:7" x14ac:dyDescent="0.25">
      <c r="B9" s="166"/>
      <c r="C9" s="165" t="s">
        <v>428</v>
      </c>
      <c r="D9" s="180">
        <f>Costos!E12+Costos!K12</f>
        <v>59992</v>
      </c>
      <c r="E9" t="s">
        <v>427</v>
      </c>
      <c r="F9" t="s">
        <v>100</v>
      </c>
      <c r="G9" s="193">
        <f>D9/D8</f>
        <v>5.9991999999999997E-2</v>
      </c>
    </row>
    <row r="10" spans="2:7" x14ac:dyDescent="0.25">
      <c r="B10" s="166"/>
      <c r="C10" s="165" t="s">
        <v>429</v>
      </c>
      <c r="D10" s="180">
        <f>Costos!N12</f>
        <v>120000</v>
      </c>
      <c r="E10" t="s">
        <v>427</v>
      </c>
      <c r="F10" t="s">
        <v>426</v>
      </c>
      <c r="G10" s="192">
        <f>D10/D6</f>
        <v>8.8509331372851649E-2</v>
      </c>
    </row>
    <row r="11" spans="2:7" ht="15.75" thickBot="1" x14ac:dyDescent="0.3">
      <c r="B11" s="167"/>
      <c r="C11" s="182" t="s">
        <v>430</v>
      </c>
      <c r="D11" s="392">
        <f>Costos!O12</f>
        <v>20000</v>
      </c>
      <c r="E11" t="s">
        <v>433</v>
      </c>
      <c r="F11" t="s">
        <v>423</v>
      </c>
      <c r="G11" s="193">
        <f>D11/$D$23</f>
        <v>2.3107942278556164E-3</v>
      </c>
    </row>
    <row r="12" spans="2:7" x14ac:dyDescent="0.25">
      <c r="B12" s="502" t="s">
        <v>736</v>
      </c>
      <c r="C12" s="503"/>
      <c r="D12" s="188">
        <f>SUM(D13:D17)</f>
        <v>2142303.8593556257</v>
      </c>
      <c r="E12" t="s">
        <v>427</v>
      </c>
      <c r="F12" t="s">
        <v>423</v>
      </c>
      <c r="G12" s="192">
        <f>D12/$D$23</f>
        <v>0.24752116962558951</v>
      </c>
    </row>
    <row r="13" spans="2:7" x14ac:dyDescent="0.25">
      <c r="B13" s="166"/>
      <c r="C13" s="165" t="s">
        <v>435</v>
      </c>
      <c r="D13" s="180">
        <f>Costos!J12</f>
        <v>1802586.3454704816</v>
      </c>
      <c r="G13" s="192"/>
    </row>
    <row r="14" spans="2:7" x14ac:dyDescent="0.25">
      <c r="B14" s="166"/>
      <c r="C14" s="165" t="s">
        <v>436</v>
      </c>
      <c r="D14" s="180">
        <f>Costos!D46+Costos!E46+Costos!F46</f>
        <v>169717.51388514385</v>
      </c>
      <c r="E14" t="s">
        <v>439</v>
      </c>
      <c r="F14" t="s">
        <v>432</v>
      </c>
      <c r="G14" s="192">
        <f>D14/'Inv Totales'!$C$24</f>
        <v>1.0189589900531398E-2</v>
      </c>
    </row>
    <row r="15" spans="2:7" x14ac:dyDescent="0.25">
      <c r="B15" s="166"/>
      <c r="C15" s="165" t="s">
        <v>414</v>
      </c>
      <c r="D15" s="180">
        <f>Costos!M12</f>
        <v>170000</v>
      </c>
      <c r="E15" t="s">
        <v>440</v>
      </c>
      <c r="F15" t="s">
        <v>432</v>
      </c>
      <c r="G15" s="192">
        <f>D15/'Inv Totales'!$C$24</f>
        <v>1.0206549951365789E-2</v>
      </c>
    </row>
    <row r="16" spans="2:7" x14ac:dyDescent="0.25">
      <c r="B16" s="166"/>
      <c r="C16" s="165" t="s">
        <v>437</v>
      </c>
      <c r="D16" s="181"/>
      <c r="E16" t="s">
        <v>441</v>
      </c>
      <c r="F16" t="s">
        <v>442</v>
      </c>
      <c r="G16" s="192"/>
    </row>
    <row r="17" spans="2:7" ht="15.75" thickBot="1" x14ac:dyDescent="0.3">
      <c r="B17" s="167"/>
      <c r="C17" s="182" t="s">
        <v>438</v>
      </c>
      <c r="D17" s="183"/>
      <c r="E17" t="s">
        <v>443</v>
      </c>
      <c r="F17" t="s">
        <v>432</v>
      </c>
      <c r="G17" s="192"/>
    </row>
    <row r="18" spans="2:7" ht="15.75" thickBot="1" x14ac:dyDescent="0.3">
      <c r="B18" s="504" t="s">
        <v>737</v>
      </c>
      <c r="C18" s="505"/>
      <c r="D18" s="185">
        <f>Costos!F29</f>
        <v>400000</v>
      </c>
      <c r="E18" t="s">
        <v>444</v>
      </c>
      <c r="F18" t="s">
        <v>445</v>
      </c>
      <c r="G18" s="192">
        <f>D18/(D6+D8)</f>
        <v>0.16979447546082485</v>
      </c>
    </row>
    <row r="19" spans="2:7" x14ac:dyDescent="0.25">
      <c r="B19" s="178" t="s">
        <v>738</v>
      </c>
      <c r="C19" s="179"/>
      <c r="D19" s="141">
        <f>D20+D21+D22</f>
        <v>426143.75</v>
      </c>
      <c r="E19" t="s">
        <v>446</v>
      </c>
      <c r="F19" t="s">
        <v>423</v>
      </c>
      <c r="G19" s="193">
        <f>D19/$D$23</f>
        <v>4.9236525886837343E-2</v>
      </c>
    </row>
    <row r="20" spans="2:7" x14ac:dyDescent="0.25">
      <c r="B20" s="166" t="s">
        <v>447</v>
      </c>
      <c r="C20" s="165"/>
      <c r="D20" s="180">
        <f>Costos!D29</f>
        <v>376143.75</v>
      </c>
      <c r="E20" s="84">
        <v>0.2</v>
      </c>
      <c r="F20" t="s">
        <v>445</v>
      </c>
      <c r="G20" s="193">
        <f>D20/$D$23</f>
        <v>4.34595403171983E-2</v>
      </c>
    </row>
    <row r="21" spans="2:7" x14ac:dyDescent="0.25">
      <c r="B21" s="166" t="s">
        <v>448</v>
      </c>
      <c r="C21" s="165"/>
      <c r="D21" s="180">
        <f>Costos!E29</f>
        <v>50000</v>
      </c>
      <c r="E21" t="s">
        <v>449</v>
      </c>
      <c r="F21" t="s">
        <v>423</v>
      </c>
      <c r="G21" s="193">
        <f>D21/$D$23</f>
        <v>5.7769855696390409E-3</v>
      </c>
    </row>
    <row r="22" spans="2:7" ht="15.75" thickBot="1" x14ac:dyDescent="0.3">
      <c r="B22" s="167" t="s">
        <v>450</v>
      </c>
      <c r="C22" s="182"/>
      <c r="D22" s="183"/>
      <c r="E22" s="84">
        <v>0.05</v>
      </c>
      <c r="F22" t="s">
        <v>423</v>
      </c>
      <c r="G22" s="193">
        <f>D22/$D$23</f>
        <v>0</v>
      </c>
    </row>
    <row r="23" spans="2:7" ht="15.75" thickBot="1" x14ac:dyDescent="0.3">
      <c r="B23" s="189" t="s">
        <v>423</v>
      </c>
      <c r="C23" s="190"/>
      <c r="D23" s="191">
        <f>D3+D19</f>
        <v>8655032.8709102366</v>
      </c>
      <c r="G23" s="192"/>
    </row>
    <row r="24" spans="2:7" ht="15.75" thickBot="1" x14ac:dyDescent="0.3">
      <c r="B24" s="168" t="s">
        <v>473</v>
      </c>
      <c r="C24" s="184"/>
      <c r="D24" s="187">
        <f>Costos!H46</f>
        <v>929991.78227244085</v>
      </c>
      <c r="E24" t="s">
        <v>474</v>
      </c>
      <c r="F24" t="s">
        <v>475</v>
      </c>
    </row>
  </sheetData>
  <mergeCells count="3">
    <mergeCell ref="B4:C4"/>
    <mergeCell ref="B12:C12"/>
    <mergeCell ref="B18:C18"/>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DAA65-8217-4F79-90F3-53CCA2A08B59}">
  <dimension ref="A2:G35"/>
  <sheetViews>
    <sheetView topLeftCell="A17" workbookViewId="0">
      <selection activeCell="F25" sqref="F25"/>
    </sheetView>
  </sheetViews>
  <sheetFormatPr baseColWidth="10" defaultRowHeight="15" x14ac:dyDescent="0.25"/>
  <sheetData>
    <row r="2" spans="1:7" x14ac:dyDescent="0.25">
      <c r="A2" s="56" t="s">
        <v>472</v>
      </c>
      <c r="B2" s="56"/>
    </row>
    <row r="3" spans="1:7" ht="15.75" thickBot="1" x14ac:dyDescent="0.3"/>
    <row r="4" spans="1:7" ht="45.75" thickBot="1" x14ac:dyDescent="0.3">
      <c r="B4" s="53" t="s">
        <v>415</v>
      </c>
      <c r="C4" s="198" t="s">
        <v>468</v>
      </c>
      <c r="D4" s="194" t="s">
        <v>486</v>
      </c>
      <c r="E4" s="194" t="s">
        <v>757</v>
      </c>
      <c r="F4" s="206" t="s">
        <v>453</v>
      </c>
      <c r="G4" s="53" t="s">
        <v>470</v>
      </c>
    </row>
    <row r="5" spans="1:7" x14ac:dyDescent="0.25">
      <c r="B5" s="203">
        <v>0</v>
      </c>
      <c r="C5" s="199">
        <f>Ingresos!P8</f>
        <v>0</v>
      </c>
      <c r="D5" s="195">
        <f>Costos!P7+Costos!G24+Costos!G41</f>
        <v>11185.198972</v>
      </c>
      <c r="E5" s="195">
        <f>C5-D5</f>
        <v>-11185.198972</v>
      </c>
      <c r="F5" s="207">
        <f>IF(E5&lt;0,0,E5*Costos!$N$46)</f>
        <v>0</v>
      </c>
      <c r="G5" s="211">
        <f>E5-F5</f>
        <v>-11185.198972</v>
      </c>
    </row>
    <row r="6" spans="1:7" x14ac:dyDescent="0.25">
      <c r="B6" s="204">
        <v>1</v>
      </c>
      <c r="C6" s="200">
        <f>Ingresos!P9</f>
        <v>9000000</v>
      </c>
      <c r="D6" s="177">
        <f>Costos!P8+Costos!G25+Costos!G42</f>
        <v>7350340.7837283676</v>
      </c>
      <c r="E6" s="177">
        <f t="shared" ref="E6:E15" si="0">C6-D6</f>
        <v>1649659.2162716324</v>
      </c>
      <c r="F6" s="208">
        <f>IF(E6&lt;0,0,E6*Costos!$N$46)</f>
        <v>412414.80406790809</v>
      </c>
      <c r="G6" s="212">
        <f t="shared" ref="G6:G15" si="1">E6-F6</f>
        <v>1237244.4122037243</v>
      </c>
    </row>
    <row r="7" spans="1:7" x14ac:dyDescent="0.25">
      <c r="B7" s="204">
        <v>2</v>
      </c>
      <c r="C7" s="200">
        <f>Ingresos!P10</f>
        <v>10125000</v>
      </c>
      <c r="D7" s="177">
        <f>Costos!P9+Costos!G26+Costos!G43</f>
        <v>7689918.1582179433</v>
      </c>
      <c r="E7" s="177">
        <f t="shared" si="0"/>
        <v>2435081.8417820567</v>
      </c>
      <c r="F7" s="208">
        <f>IF(E7&lt;0,0,E7*Costos!$N$46)</f>
        <v>608770.46044551418</v>
      </c>
      <c r="G7" s="212">
        <f t="shared" si="1"/>
        <v>1826311.3813365425</v>
      </c>
    </row>
    <row r="8" spans="1:7" x14ac:dyDescent="0.25">
      <c r="B8" s="204">
        <v>3</v>
      </c>
      <c r="C8" s="200">
        <f>Ingresos!P11</f>
        <v>11250000</v>
      </c>
      <c r="D8" s="177">
        <f>Costos!P10+Costos!G27+Costos!G44</f>
        <v>7967649.3630669834</v>
      </c>
      <c r="E8" s="177">
        <f t="shared" si="0"/>
        <v>3282350.6369330166</v>
      </c>
      <c r="F8" s="208">
        <f>IF(E8&lt;0,0,E8*Costos!$N$46)</f>
        <v>820587.65923325415</v>
      </c>
      <c r="G8" s="212">
        <f t="shared" si="1"/>
        <v>2461762.9776997622</v>
      </c>
    </row>
    <row r="9" spans="1:7" x14ac:dyDescent="0.25">
      <c r="B9" s="204">
        <v>4</v>
      </c>
      <c r="C9" s="200">
        <f>Ingresos!P12</f>
        <v>12375000</v>
      </c>
      <c r="D9" s="177">
        <f>Costos!P11+Costos!G28+Costos!G45</f>
        <v>8363331.7279160256</v>
      </c>
      <c r="E9" s="177">
        <f t="shared" si="0"/>
        <v>4011668.2720839744</v>
      </c>
      <c r="F9" s="208">
        <f>IF(E9&lt;0,0,E9*Costos!$N$46)</f>
        <v>1002917.0680209936</v>
      </c>
      <c r="G9" s="212">
        <f t="shared" si="1"/>
        <v>3008751.2040629806</v>
      </c>
    </row>
    <row r="10" spans="1:7" x14ac:dyDescent="0.25">
      <c r="B10" s="204">
        <v>5</v>
      </c>
      <c r="C10" s="200">
        <f>Ingresos!P13</f>
        <v>12375000</v>
      </c>
      <c r="D10" s="177">
        <f>Costos!P12+Costos!G29+Costos!G46</f>
        <v>8655032.8709102366</v>
      </c>
      <c r="E10" s="177">
        <f t="shared" si="0"/>
        <v>3719967.1290897634</v>
      </c>
      <c r="F10" s="208">
        <f>IF(E10&lt;0,0,E10*Costos!$N$46)</f>
        <v>929991.78227244085</v>
      </c>
      <c r="G10" s="212">
        <f t="shared" si="1"/>
        <v>2789975.3468173225</v>
      </c>
    </row>
    <row r="11" spans="1:7" x14ac:dyDescent="0.25">
      <c r="B11" s="204">
        <v>6</v>
      </c>
      <c r="C11" s="200">
        <f>Ingresos!P14</f>
        <v>12375000</v>
      </c>
      <c r="D11" s="177">
        <f>Costos!P13+Costos!G30+Costos!G47</f>
        <v>7798445.7212532824</v>
      </c>
      <c r="E11" s="177">
        <f t="shared" si="0"/>
        <v>4576554.2787467176</v>
      </c>
      <c r="F11" s="208">
        <f>IF(E11&lt;0,0,E11*Costos!$N$46)</f>
        <v>1144138.5696866794</v>
      </c>
      <c r="G11" s="212">
        <f t="shared" si="1"/>
        <v>3432415.7090600384</v>
      </c>
    </row>
    <row r="12" spans="1:7" x14ac:dyDescent="0.25">
      <c r="B12" s="204">
        <v>7</v>
      </c>
      <c r="C12" s="200">
        <f>Ingresos!P15</f>
        <v>12375000</v>
      </c>
      <c r="D12" s="177">
        <f>Costos!P14+Costos!G31+Costos!G48</f>
        <v>8194938.1812643288</v>
      </c>
      <c r="E12" s="177">
        <f t="shared" si="0"/>
        <v>4180061.8187356712</v>
      </c>
      <c r="F12" s="208">
        <f>IF(E12&lt;0,0,E12*Costos!$N$46)</f>
        <v>1045015.4546839178</v>
      </c>
      <c r="G12" s="212">
        <f t="shared" si="1"/>
        <v>3135046.3640517537</v>
      </c>
    </row>
    <row r="13" spans="1:7" x14ac:dyDescent="0.25">
      <c r="B13" s="204">
        <v>8</v>
      </c>
      <c r="C13" s="200">
        <f>Ingresos!P16</f>
        <v>12375000</v>
      </c>
      <c r="D13" s="177">
        <f>Costos!P15+Costos!G32+Costos!G49</f>
        <v>8483897.3978348412</v>
      </c>
      <c r="E13" s="177">
        <f t="shared" si="0"/>
        <v>3891102.6021651588</v>
      </c>
      <c r="F13" s="208">
        <f>IF(E13&lt;0,0,E13*Costos!$N$46)</f>
        <v>972775.65054128971</v>
      </c>
      <c r="G13" s="212">
        <f t="shared" si="1"/>
        <v>2918326.9516238691</v>
      </c>
    </row>
    <row r="14" spans="1:7" x14ac:dyDescent="0.25">
      <c r="B14" s="204">
        <v>9</v>
      </c>
      <c r="C14" s="200">
        <f>Ingresos!P17</f>
        <v>12375000</v>
      </c>
      <c r="D14" s="177">
        <f>Costos!P16+Costos!G33+Costos!G50</f>
        <v>8772856.6144053545</v>
      </c>
      <c r="E14" s="177">
        <f t="shared" si="0"/>
        <v>3602143.3855946455</v>
      </c>
      <c r="F14" s="208">
        <f>IF(E14&lt;0,0,E14*Costos!$N$46)</f>
        <v>900535.84639866138</v>
      </c>
      <c r="G14" s="212">
        <f t="shared" si="1"/>
        <v>2701607.5391959841</v>
      </c>
    </row>
    <row r="15" spans="1:7" ht="15.75" thickBot="1" x14ac:dyDescent="0.3">
      <c r="B15" s="205">
        <v>10</v>
      </c>
      <c r="C15" s="201">
        <f>Ingresos!P18</f>
        <v>12375000</v>
      </c>
      <c r="D15" s="196">
        <f>Costos!P17+Costos!G34+Costos!G51</f>
        <v>9061815.8309758678</v>
      </c>
      <c r="E15" s="196">
        <f t="shared" si="0"/>
        <v>3313184.1690241322</v>
      </c>
      <c r="F15" s="209">
        <f>IF(E15&lt;0,0,E15*Costos!$N$46)</f>
        <v>828296.04225603305</v>
      </c>
      <c r="G15" s="213">
        <f t="shared" si="1"/>
        <v>2484888.1267680991</v>
      </c>
    </row>
    <row r="16" spans="1:7" ht="15.75" thickBot="1" x14ac:dyDescent="0.3">
      <c r="B16" s="116" t="s">
        <v>169</v>
      </c>
      <c r="C16" s="202">
        <f>SUM(C5:C15)</f>
        <v>117000000</v>
      </c>
      <c r="D16" s="197">
        <f>SUM(D5:D15)</f>
        <v>82349411.848545223</v>
      </c>
      <c r="E16" s="197">
        <f>SUM(E5:E15)</f>
        <v>34650588.151454769</v>
      </c>
      <c r="F16" s="210">
        <f>SUM(F5:F15)</f>
        <v>8665443.3376066927</v>
      </c>
      <c r="G16" s="118">
        <f>SUM(G5:G15)</f>
        <v>25985144.813848078</v>
      </c>
    </row>
    <row r="18" spans="1:7" s="61" customFormat="1" ht="15.75" thickBot="1" x14ac:dyDescent="0.3"/>
    <row r="20" spans="1:7" x14ac:dyDescent="0.25">
      <c r="A20" s="56" t="s">
        <v>536</v>
      </c>
      <c r="B20" s="56"/>
    </row>
    <row r="21" spans="1:7" ht="15.75" thickBot="1" x14ac:dyDescent="0.3"/>
    <row r="22" spans="1:7" ht="45.75" thickBot="1" x14ac:dyDescent="0.3">
      <c r="B22" s="53" t="s">
        <v>415</v>
      </c>
      <c r="C22" s="198" t="s">
        <v>468</v>
      </c>
      <c r="D22" s="425" t="s">
        <v>486</v>
      </c>
      <c r="E22" s="425" t="s">
        <v>757</v>
      </c>
      <c r="F22" s="426" t="s">
        <v>453</v>
      </c>
      <c r="G22" s="427" t="s">
        <v>470</v>
      </c>
    </row>
    <row r="23" spans="1:7" x14ac:dyDescent="0.25">
      <c r="B23" s="203">
        <v>0</v>
      </c>
      <c r="C23" s="199">
        <f>C5</f>
        <v>0</v>
      </c>
      <c r="D23" s="428">
        <f>Costos!AP7+Costos!AH24+Costos!AG41</f>
        <v>11185.198972</v>
      </c>
      <c r="E23" s="428">
        <f>C23-D23</f>
        <v>-11185.198972</v>
      </c>
      <c r="F23" s="429">
        <f>IF(E23&lt;0,0,E23*Costos!$N$46)</f>
        <v>0</v>
      </c>
      <c r="G23" s="430">
        <f>E23-F23</f>
        <v>-11185.198972</v>
      </c>
    </row>
    <row r="24" spans="1:7" x14ac:dyDescent="0.25">
      <c r="B24" s="204">
        <v>1</v>
      </c>
      <c r="C24" s="200">
        <f t="shared" ref="C24:C33" si="2">C6</f>
        <v>9000000</v>
      </c>
      <c r="D24" s="431">
        <f>Costos!AP8+Costos!AH25+Costos!AG42</f>
        <v>7975556.3188583674</v>
      </c>
      <c r="E24" s="431">
        <f t="shared" ref="E24:E33" si="3">C24-D24</f>
        <v>1024443.6811416326</v>
      </c>
      <c r="F24" s="432">
        <f>IF(E24&lt;0,0,E24*Costos!$N$46)</f>
        <v>256110.92028540815</v>
      </c>
      <c r="G24" s="433">
        <f t="shared" ref="G24:G33" si="4">E24-F24</f>
        <v>768332.76085622446</v>
      </c>
    </row>
    <row r="25" spans="1:7" x14ac:dyDescent="0.25">
      <c r="B25" s="204">
        <v>2</v>
      </c>
      <c r="C25" s="200">
        <f t="shared" si="2"/>
        <v>10125000</v>
      </c>
      <c r="D25" s="431">
        <f>Costos!AP9+Costos!AH26+Costos!AG43</f>
        <v>8312947.2610019427</v>
      </c>
      <c r="E25" s="431">
        <f t="shared" si="3"/>
        <v>1812052.7389980573</v>
      </c>
      <c r="F25" s="432">
        <f>IF(E25&lt;0,0,E25*Costos!$N$46)</f>
        <v>453013.18474951433</v>
      </c>
      <c r="G25" s="433">
        <f t="shared" si="4"/>
        <v>1359039.554248543</v>
      </c>
    </row>
    <row r="26" spans="1:7" x14ac:dyDescent="0.25">
      <c r="B26" s="204">
        <v>3</v>
      </c>
      <c r="C26" s="200">
        <f t="shared" si="2"/>
        <v>11250000</v>
      </c>
      <c r="D26" s="431">
        <f>Costos!AP10+Costos!AH27+Costos!AG44</f>
        <v>8588492.0335049853</v>
      </c>
      <c r="E26" s="431">
        <f t="shared" si="3"/>
        <v>2661507.9664950147</v>
      </c>
      <c r="F26" s="432">
        <f>IF(E26&lt;0,0,E26*Costos!$N$46)</f>
        <v>665376.99162375368</v>
      </c>
      <c r="G26" s="433">
        <f t="shared" si="4"/>
        <v>1996130.974871261</v>
      </c>
    </row>
    <row r="27" spans="1:7" x14ac:dyDescent="0.25">
      <c r="B27" s="204">
        <v>4</v>
      </c>
      <c r="C27" s="200">
        <f t="shared" si="2"/>
        <v>12375000</v>
      </c>
      <c r="D27" s="431">
        <f>Costos!AP11+Costos!AH28+Costos!AG45</f>
        <v>8923422.8138830271</v>
      </c>
      <c r="E27" s="431">
        <f t="shared" si="3"/>
        <v>3451577.1861169729</v>
      </c>
      <c r="F27" s="432">
        <f>IF(E27&lt;0,0,E27*Costos!$N$46)</f>
        <v>862894.29652924323</v>
      </c>
      <c r="G27" s="433">
        <f t="shared" si="4"/>
        <v>2588682.8895877297</v>
      </c>
    </row>
    <row r="28" spans="1:7" x14ac:dyDescent="0.25">
      <c r="B28" s="204">
        <v>5</v>
      </c>
      <c r="C28" s="200">
        <f t="shared" si="2"/>
        <v>12375000</v>
      </c>
      <c r="D28" s="431">
        <f>Costos!AP12+Costos!AH29+Costos!AG46</f>
        <v>9154372.3724062368</v>
      </c>
      <c r="E28" s="431">
        <f t="shared" si="3"/>
        <v>3220627.6275937632</v>
      </c>
      <c r="F28" s="432">
        <f>IF(E28&lt;0,0,E28*Costos!$N$46)</f>
        <v>805156.90689844079</v>
      </c>
      <c r="G28" s="433">
        <f t="shared" si="4"/>
        <v>2415470.7206953224</v>
      </c>
    </row>
    <row r="29" spans="1:7" x14ac:dyDescent="0.25">
      <c r="B29" s="204">
        <v>6</v>
      </c>
      <c r="C29" s="200">
        <f t="shared" si="2"/>
        <v>12375000</v>
      </c>
      <c r="D29" s="431">
        <f>Costos!AP13+Costos!AH30+Costos!AG47</f>
        <v>8091271.4818782825</v>
      </c>
      <c r="E29" s="431">
        <f t="shared" si="3"/>
        <v>4283728.5181217175</v>
      </c>
      <c r="F29" s="432">
        <f>IF(E29&lt;0,0,E29*Costos!$N$46)</f>
        <v>1070932.1295304294</v>
      </c>
      <c r="G29" s="433">
        <f t="shared" si="4"/>
        <v>3212796.3885912881</v>
      </c>
    </row>
    <row r="30" spans="1:7" x14ac:dyDescent="0.25">
      <c r="B30" s="204">
        <v>7</v>
      </c>
      <c r="C30" s="200">
        <f t="shared" si="2"/>
        <v>12375000</v>
      </c>
      <c r="D30" s="431">
        <f>Costos!AP14+Costos!AH31+Costos!AG48</f>
        <v>8429198.7897643279</v>
      </c>
      <c r="E30" s="431">
        <f t="shared" si="3"/>
        <v>3945801.2102356721</v>
      </c>
      <c r="F30" s="432">
        <f>IF(E30&lt;0,0,E30*Costos!$N$46)</f>
        <v>986450.30255891802</v>
      </c>
      <c r="G30" s="433">
        <f t="shared" si="4"/>
        <v>2959350.9076767541</v>
      </c>
    </row>
    <row r="31" spans="1:7" x14ac:dyDescent="0.25">
      <c r="B31" s="204">
        <v>8</v>
      </c>
      <c r="C31" s="200">
        <f t="shared" si="2"/>
        <v>12375000</v>
      </c>
      <c r="D31" s="431">
        <f>Costos!AP15+Costos!AH32+Costos!AG49</f>
        <v>8659592.8542098422</v>
      </c>
      <c r="E31" s="431">
        <f t="shared" si="3"/>
        <v>3715407.1457901578</v>
      </c>
      <c r="F31" s="432">
        <f>IF(E31&lt;0,0,E31*Costos!$N$46)</f>
        <v>928851.78644753946</v>
      </c>
      <c r="G31" s="433">
        <f t="shared" si="4"/>
        <v>2786555.3593426184</v>
      </c>
    </row>
    <row r="32" spans="1:7" x14ac:dyDescent="0.25">
      <c r="B32" s="204">
        <v>9</v>
      </c>
      <c r="C32" s="200">
        <f t="shared" si="2"/>
        <v>12375000</v>
      </c>
      <c r="D32" s="431">
        <f>Costos!AP16+Costos!AH33+Costos!AG50</f>
        <v>8889986.9186553545</v>
      </c>
      <c r="E32" s="431">
        <f t="shared" si="3"/>
        <v>3485013.0813446455</v>
      </c>
      <c r="F32" s="432">
        <f>IF(E32&lt;0,0,E32*Costos!$N$46)</f>
        <v>871253.27033616137</v>
      </c>
      <c r="G32" s="433">
        <f t="shared" si="4"/>
        <v>2613759.8110084841</v>
      </c>
    </row>
    <row r="33" spans="2:7" ht="15.75" thickBot="1" x14ac:dyDescent="0.3">
      <c r="B33" s="205">
        <v>10</v>
      </c>
      <c r="C33" s="201">
        <f t="shared" si="2"/>
        <v>12375000</v>
      </c>
      <c r="D33" s="434">
        <f>Costos!AP17+Costos!AH34+Costos!AG51</f>
        <v>9120380.9831008688</v>
      </c>
      <c r="E33" s="434">
        <f t="shared" si="3"/>
        <v>3254619.0168991312</v>
      </c>
      <c r="F33" s="435">
        <f>IF(E33&lt;0,0,E33*Costos!$N$46)</f>
        <v>813654.75422478281</v>
      </c>
      <c r="G33" s="436">
        <f t="shared" si="4"/>
        <v>2440964.2626743484</v>
      </c>
    </row>
    <row r="34" spans="2:7" ht="15.75" thickBot="1" x14ac:dyDescent="0.3">
      <c r="B34" s="116" t="s">
        <v>169</v>
      </c>
      <c r="C34" s="202">
        <f>SUM(C23:C33)</f>
        <v>117000000</v>
      </c>
      <c r="D34" s="437">
        <f>SUM(D23:D33)</f>
        <v>86156407.026235223</v>
      </c>
      <c r="E34" s="437">
        <f>SUM(E23:E33)</f>
        <v>30843592.973764766</v>
      </c>
      <c r="F34" s="438">
        <f>SUM(F23:F33)</f>
        <v>7713694.5431841919</v>
      </c>
      <c r="G34" s="439">
        <f>SUM(G23:G33)</f>
        <v>23129898.430580571</v>
      </c>
    </row>
    <row r="35" spans="2:7" s="61" customFormat="1" ht="15.75" thickBot="1" x14ac:dyDescent="0.3"/>
  </sheetData>
  <pageMargins left="0.7" right="0.7" top="0.75" bottom="0.75" header="0.3" footer="0.3"/>
  <ignoredErrors>
    <ignoredError sqref="F5:F15 F23 F25:F33"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36AFD-6838-43FE-8466-D9DCA2774126}">
  <dimension ref="A1:AQ72"/>
  <sheetViews>
    <sheetView topLeftCell="A57" workbookViewId="0">
      <selection activeCell="AK71" sqref="AK71"/>
    </sheetView>
  </sheetViews>
  <sheetFormatPr baseColWidth="10" defaultRowHeight="15" x14ac:dyDescent="0.25"/>
  <cols>
    <col min="20" max="22" width="2.7109375" customWidth="1"/>
    <col min="42" max="44" width="2.7109375" customWidth="1"/>
  </cols>
  <sheetData>
    <row r="1" spans="1:43" x14ac:dyDescent="0.25">
      <c r="U1" s="95"/>
      <c r="AQ1" s="95"/>
    </row>
    <row r="2" spans="1:43" x14ac:dyDescent="0.25">
      <c r="A2" s="56" t="s">
        <v>504</v>
      </c>
      <c r="B2" s="56"/>
      <c r="U2" s="95"/>
      <c r="W2" s="56" t="s">
        <v>504</v>
      </c>
      <c r="X2" s="56"/>
      <c r="AQ2" s="95"/>
    </row>
    <row r="3" spans="1:43" x14ac:dyDescent="0.25">
      <c r="A3" t="s">
        <v>399</v>
      </c>
      <c r="U3" s="95"/>
      <c r="W3" t="s">
        <v>399</v>
      </c>
      <c r="AQ3" s="95"/>
    </row>
    <row r="4" spans="1:43" x14ac:dyDescent="0.25">
      <c r="C4" s="6" t="s">
        <v>508</v>
      </c>
      <c r="D4" s="6" t="s">
        <v>506</v>
      </c>
      <c r="E4" s="6" t="s">
        <v>507</v>
      </c>
      <c r="F4" s="6" t="s">
        <v>505</v>
      </c>
      <c r="G4" s="6" t="s">
        <v>511</v>
      </c>
      <c r="H4" s="6"/>
      <c r="I4" s="6"/>
      <c r="J4" s="6"/>
      <c r="U4" s="95"/>
      <c r="Y4" s="6" t="s">
        <v>508</v>
      </c>
      <c r="Z4" s="440" t="s">
        <v>506</v>
      </c>
      <c r="AA4" s="6" t="s">
        <v>507</v>
      </c>
      <c r="AB4" s="440" t="s">
        <v>505</v>
      </c>
      <c r="AC4" s="6" t="s">
        <v>511</v>
      </c>
      <c r="AD4" s="6"/>
      <c r="AE4" s="6"/>
      <c r="AF4" s="6"/>
      <c r="AQ4" s="95"/>
    </row>
    <row r="5" spans="1:43" x14ac:dyDescent="0.25">
      <c r="C5" s="214">
        <v>0</v>
      </c>
      <c r="D5" s="5">
        <f>Costos!$P$76</f>
        <v>5512137.9549408369</v>
      </c>
      <c r="E5" s="5">
        <f>C5*Costos!$L$93</f>
        <v>0</v>
      </c>
      <c r="F5" s="5">
        <f>D5+E5</f>
        <v>5512137.9549408369</v>
      </c>
      <c r="G5" s="5">
        <f>C5*Ingresos!$E$2</f>
        <v>0</v>
      </c>
      <c r="H5" s="5"/>
      <c r="I5" s="5"/>
      <c r="J5" s="5"/>
      <c r="U5" s="95"/>
      <c r="Y5" s="214">
        <v>0</v>
      </c>
      <c r="Z5" s="400">
        <f>Costos!$AQ$76</f>
        <v>6137353.4900708366</v>
      </c>
      <c r="AA5" s="5">
        <f>Y5*Costos!$AL$93</f>
        <v>0</v>
      </c>
      <c r="AB5" s="400">
        <f>Z5+AA5</f>
        <v>6137353.4900708366</v>
      </c>
      <c r="AC5" s="5">
        <f>Y5*Ingresos!$E$2</f>
        <v>0</v>
      </c>
      <c r="AD5" s="5"/>
      <c r="AE5" s="5"/>
      <c r="AF5" s="5"/>
      <c r="AQ5" s="95"/>
    </row>
    <row r="6" spans="1:43" x14ac:dyDescent="0.25">
      <c r="C6" s="214">
        <v>1000</v>
      </c>
      <c r="D6" s="5">
        <f>Costos!$P$76</f>
        <v>5512137.9549408369</v>
      </c>
      <c r="E6" s="5">
        <f>C6*Costos!$L$93</f>
        <v>229775.35359844143</v>
      </c>
      <c r="F6" s="5">
        <f t="shared" ref="F6:F20" si="0">D6+E6</f>
        <v>5741913.3085392779</v>
      </c>
      <c r="G6" s="5">
        <f>C6*Ingresos!$E$2</f>
        <v>900000</v>
      </c>
      <c r="H6" s="5"/>
      <c r="I6" s="5"/>
      <c r="J6" s="5"/>
      <c r="U6" s="95"/>
      <c r="Y6" s="214">
        <v>1000</v>
      </c>
      <c r="Z6" s="400">
        <f>Costos!$AQ$76</f>
        <v>6137353.4900708366</v>
      </c>
      <c r="AA6" s="5">
        <f>Y6*Costos!$AL$93</f>
        <v>229775.35359844143</v>
      </c>
      <c r="AB6" s="400">
        <f t="shared" ref="AB6:AB20" si="1">Z6+AA6</f>
        <v>6367128.8436692776</v>
      </c>
      <c r="AC6" s="5">
        <f>Y6*Ingresos!$E$2</f>
        <v>900000</v>
      </c>
      <c r="AD6" s="5"/>
      <c r="AE6" s="5"/>
      <c r="AF6" s="5"/>
      <c r="AQ6" s="95"/>
    </row>
    <row r="7" spans="1:43" x14ac:dyDescent="0.25">
      <c r="C7" s="214">
        <v>2000</v>
      </c>
      <c r="D7" s="5">
        <f>Costos!$P$76</f>
        <v>5512137.9549408369</v>
      </c>
      <c r="E7" s="5">
        <f>C7*Costos!$L$93</f>
        <v>459550.70719688287</v>
      </c>
      <c r="F7" s="5">
        <f t="shared" si="0"/>
        <v>5971688.6621377198</v>
      </c>
      <c r="G7" s="5">
        <f>C7*Ingresos!$E$2</f>
        <v>1800000</v>
      </c>
      <c r="H7" s="5"/>
      <c r="I7" s="5"/>
      <c r="J7" s="5"/>
      <c r="U7" s="95"/>
      <c r="Y7" s="214">
        <v>2000</v>
      </c>
      <c r="Z7" s="400">
        <f>Costos!$AQ$76</f>
        <v>6137353.4900708366</v>
      </c>
      <c r="AA7" s="5">
        <f>Y7*Costos!$AL$93</f>
        <v>459550.70719688287</v>
      </c>
      <c r="AB7" s="400">
        <f t="shared" si="1"/>
        <v>6596904.1972677195</v>
      </c>
      <c r="AC7" s="5">
        <f>Y7*Ingresos!$E$2</f>
        <v>1800000</v>
      </c>
      <c r="AD7" s="5"/>
      <c r="AE7" s="5"/>
      <c r="AF7" s="5"/>
      <c r="AQ7" s="95"/>
    </row>
    <row r="8" spans="1:43" x14ac:dyDescent="0.25">
      <c r="C8" s="214">
        <v>3000</v>
      </c>
      <c r="D8" s="5">
        <f>Costos!$P$76</f>
        <v>5512137.9549408369</v>
      </c>
      <c r="E8" s="5">
        <f>C8*Costos!$L$93</f>
        <v>689326.06079532427</v>
      </c>
      <c r="F8" s="5">
        <f t="shared" si="0"/>
        <v>6201464.0157361608</v>
      </c>
      <c r="G8" s="5">
        <f>C8*Ingresos!$E$2</f>
        <v>2700000</v>
      </c>
      <c r="H8" s="5"/>
      <c r="I8" s="5"/>
      <c r="J8" s="5"/>
      <c r="U8" s="95"/>
      <c r="Y8" s="214">
        <v>3000</v>
      </c>
      <c r="Z8" s="400">
        <f>Costos!$AQ$76</f>
        <v>6137353.4900708366</v>
      </c>
      <c r="AA8" s="5">
        <f>Y8*Costos!$AL$93</f>
        <v>689326.06079532427</v>
      </c>
      <c r="AB8" s="400">
        <f t="shared" si="1"/>
        <v>6826679.5508661605</v>
      </c>
      <c r="AC8" s="5">
        <f>Y8*Ingresos!$E$2</f>
        <v>2700000</v>
      </c>
      <c r="AD8" s="5"/>
      <c r="AE8" s="5"/>
      <c r="AF8" s="5"/>
      <c r="AQ8" s="95"/>
    </row>
    <row r="9" spans="1:43" x14ac:dyDescent="0.25">
      <c r="C9" s="214">
        <v>4000</v>
      </c>
      <c r="D9" s="5">
        <f>Costos!$P$76</f>
        <v>5512137.9549408369</v>
      </c>
      <c r="E9" s="5">
        <f>C9*Costos!$L$93</f>
        <v>919101.41439376574</v>
      </c>
      <c r="F9" s="5">
        <f t="shared" si="0"/>
        <v>6431239.3693346027</v>
      </c>
      <c r="G9" s="5">
        <f>C9*Ingresos!$E$2</f>
        <v>3600000</v>
      </c>
      <c r="H9" s="5"/>
      <c r="I9" s="5"/>
      <c r="J9" s="5"/>
      <c r="U9" s="95"/>
      <c r="Y9" s="214">
        <v>4000</v>
      </c>
      <c r="Z9" s="400">
        <f>Costos!$AQ$76</f>
        <v>6137353.4900708366</v>
      </c>
      <c r="AA9" s="5">
        <f>Y9*Costos!$AL$93</f>
        <v>919101.41439376574</v>
      </c>
      <c r="AB9" s="400">
        <f t="shared" si="1"/>
        <v>7056454.9044646025</v>
      </c>
      <c r="AC9" s="5">
        <f>Y9*Ingresos!$E$2</f>
        <v>3600000</v>
      </c>
      <c r="AD9" s="5"/>
      <c r="AE9" s="5"/>
      <c r="AF9" s="5"/>
      <c r="AQ9" s="95"/>
    </row>
    <row r="10" spans="1:43" x14ac:dyDescent="0.25">
      <c r="C10" s="214">
        <v>5000</v>
      </c>
      <c r="D10" s="5">
        <f>Costos!$P$76</f>
        <v>5512137.9549408369</v>
      </c>
      <c r="E10" s="5">
        <f>C10*Costos!$L$93</f>
        <v>1148876.7679922071</v>
      </c>
      <c r="F10" s="5">
        <f t="shared" si="0"/>
        <v>6661014.7229330437</v>
      </c>
      <c r="G10" s="5">
        <f>C10*Ingresos!$E$2</f>
        <v>4500000</v>
      </c>
      <c r="H10" s="5"/>
      <c r="I10" s="5"/>
      <c r="J10" s="5"/>
      <c r="U10" s="95"/>
      <c r="Y10" s="214">
        <v>5000</v>
      </c>
      <c r="Z10" s="400">
        <f>Costos!$AQ$76</f>
        <v>6137353.4900708366</v>
      </c>
      <c r="AA10" s="5">
        <f>Y10*Costos!$AL$93</f>
        <v>1148876.7679922071</v>
      </c>
      <c r="AB10" s="400">
        <f t="shared" si="1"/>
        <v>7286230.2580630435</v>
      </c>
      <c r="AC10" s="5">
        <f>Y10*Ingresos!$E$2</f>
        <v>4500000</v>
      </c>
      <c r="AD10" s="5"/>
      <c r="AE10" s="5"/>
      <c r="AF10" s="5"/>
      <c r="AQ10" s="95"/>
    </row>
    <row r="11" spans="1:43" x14ac:dyDescent="0.25">
      <c r="C11" s="214">
        <v>6000</v>
      </c>
      <c r="D11" s="5">
        <f>Costos!$P$76</f>
        <v>5512137.9549408369</v>
      </c>
      <c r="E11" s="5">
        <f>C11*Costos!$L$93</f>
        <v>1378652.1215906485</v>
      </c>
      <c r="F11" s="5">
        <f t="shared" si="0"/>
        <v>6890790.0765314857</v>
      </c>
      <c r="G11" s="5">
        <f>C11*Ingresos!$E$2</f>
        <v>5400000</v>
      </c>
      <c r="H11" s="5"/>
      <c r="I11" s="5"/>
      <c r="J11" s="5"/>
      <c r="U11" s="95"/>
      <c r="Y11" s="214">
        <v>6000</v>
      </c>
      <c r="Z11" s="400">
        <f>Costos!$AQ$76</f>
        <v>6137353.4900708366</v>
      </c>
      <c r="AA11" s="5">
        <f>Y11*Costos!$AL$93</f>
        <v>1378652.1215906485</v>
      </c>
      <c r="AB11" s="400">
        <f t="shared" si="1"/>
        <v>7516005.6116614854</v>
      </c>
      <c r="AC11" s="5">
        <f>Y11*Ingresos!$E$2</f>
        <v>5400000</v>
      </c>
      <c r="AD11" s="5"/>
      <c r="AE11" s="5"/>
      <c r="AF11" s="5"/>
      <c r="AQ11" s="95"/>
    </row>
    <row r="12" spans="1:43" x14ac:dyDescent="0.25">
      <c r="C12" s="214">
        <v>7000</v>
      </c>
      <c r="D12" s="5">
        <f>Costos!$P$76</f>
        <v>5512137.9549408369</v>
      </c>
      <c r="E12" s="5">
        <f>C12*Costos!$L$93</f>
        <v>1608427.47518909</v>
      </c>
      <c r="F12" s="5">
        <f t="shared" si="0"/>
        <v>7120565.4301299267</v>
      </c>
      <c r="G12" s="5">
        <f>C12*Ingresos!$E$2</f>
        <v>6300000</v>
      </c>
      <c r="H12" s="5"/>
      <c r="I12" s="5"/>
      <c r="J12" s="5"/>
      <c r="U12" s="95"/>
      <c r="Y12" s="214">
        <v>7000</v>
      </c>
      <c r="Z12" s="400">
        <f>Costos!$AQ$76</f>
        <v>6137353.4900708366</v>
      </c>
      <c r="AA12" s="5">
        <f>Y12*Costos!$AL$93</f>
        <v>1608427.47518909</v>
      </c>
      <c r="AB12" s="400">
        <f t="shared" si="1"/>
        <v>7745780.9652599264</v>
      </c>
      <c r="AC12" s="5">
        <f>Y12*Ingresos!$E$2</f>
        <v>6300000</v>
      </c>
      <c r="AD12" s="5"/>
      <c r="AE12" s="5"/>
      <c r="AF12" s="5"/>
      <c r="AQ12" s="95"/>
    </row>
    <row r="13" spans="1:43" x14ac:dyDescent="0.25">
      <c r="C13" s="214">
        <v>8000</v>
      </c>
      <c r="D13" s="5">
        <f>Costos!$P$76</f>
        <v>5512137.9549408369</v>
      </c>
      <c r="E13" s="5">
        <f>C13*Costos!$L$93</f>
        <v>1838202.8287875315</v>
      </c>
      <c r="F13" s="5">
        <f t="shared" si="0"/>
        <v>7350340.7837283686</v>
      </c>
      <c r="G13" s="5">
        <f>C13*Ingresos!$E$2</f>
        <v>7200000</v>
      </c>
      <c r="H13" s="5"/>
      <c r="I13" s="5"/>
      <c r="J13" s="5"/>
      <c r="U13" s="95"/>
      <c r="Y13" s="214">
        <v>8000</v>
      </c>
      <c r="Z13" s="400">
        <f>Costos!$AQ$76</f>
        <v>6137353.4900708366</v>
      </c>
      <c r="AA13" s="5">
        <f>Y13*Costos!$AL$93</f>
        <v>1838202.8287875315</v>
      </c>
      <c r="AB13" s="400">
        <f t="shared" si="1"/>
        <v>7975556.3188583683</v>
      </c>
      <c r="AC13" s="5">
        <f>Y13*Ingresos!$E$2</f>
        <v>7200000</v>
      </c>
      <c r="AD13" s="5"/>
      <c r="AE13" s="5"/>
      <c r="AF13" s="5"/>
      <c r="AQ13" s="95"/>
    </row>
    <row r="14" spans="1:43" x14ac:dyDescent="0.25">
      <c r="C14" s="214">
        <v>9000</v>
      </c>
      <c r="D14" s="5">
        <f>Costos!$P$76</f>
        <v>5512137.9549408369</v>
      </c>
      <c r="E14" s="5">
        <f>C14*Costos!$L$93</f>
        <v>2067978.1823859729</v>
      </c>
      <c r="F14" s="5">
        <f t="shared" si="0"/>
        <v>7580116.1373268096</v>
      </c>
      <c r="G14" s="5">
        <f>C14*Ingresos!$E$2</f>
        <v>8100000</v>
      </c>
      <c r="H14" s="5"/>
      <c r="I14" s="5"/>
      <c r="J14" s="5"/>
      <c r="U14" s="95"/>
      <c r="Y14" s="214">
        <v>9000</v>
      </c>
      <c r="Z14" s="400">
        <f>Costos!$AQ$76</f>
        <v>6137353.4900708366</v>
      </c>
      <c r="AA14" s="5">
        <f>Y14*Costos!$AL$93</f>
        <v>2067978.1823859729</v>
      </c>
      <c r="AB14" s="400">
        <f t="shared" si="1"/>
        <v>8205331.6724568093</v>
      </c>
      <c r="AC14" s="5">
        <f>Y14*Ingresos!$E$2</f>
        <v>8100000</v>
      </c>
      <c r="AD14" s="5"/>
      <c r="AE14" s="5"/>
      <c r="AF14" s="5"/>
      <c r="AQ14" s="95"/>
    </row>
    <row r="15" spans="1:43" x14ac:dyDescent="0.25">
      <c r="C15" s="214">
        <v>10000</v>
      </c>
      <c r="D15" s="5">
        <f>Costos!$P$76</f>
        <v>5512137.9549408369</v>
      </c>
      <c r="E15" s="5">
        <f>C15*Costos!$L$93</f>
        <v>2297753.5359844142</v>
      </c>
      <c r="F15" s="5">
        <f t="shared" si="0"/>
        <v>7809891.4909252506</v>
      </c>
      <c r="G15" s="5">
        <f>C15*Ingresos!$E$2</f>
        <v>9000000</v>
      </c>
      <c r="H15" s="5"/>
      <c r="I15" s="5"/>
      <c r="J15" s="5"/>
      <c r="U15" s="95"/>
      <c r="Y15" s="214">
        <v>10000</v>
      </c>
      <c r="Z15" s="400">
        <f>Costos!$AQ$76</f>
        <v>6137353.4900708366</v>
      </c>
      <c r="AA15" s="5">
        <f>Y15*Costos!$AL$93</f>
        <v>2297753.5359844142</v>
      </c>
      <c r="AB15" s="400">
        <f t="shared" si="1"/>
        <v>8435107.0260552503</v>
      </c>
      <c r="AC15" s="5">
        <f>Y15*Ingresos!$E$2</f>
        <v>9000000</v>
      </c>
      <c r="AD15" s="5"/>
      <c r="AE15" s="5"/>
      <c r="AF15" s="5"/>
      <c r="AQ15" s="95"/>
    </row>
    <row r="16" spans="1:43" x14ac:dyDescent="0.25">
      <c r="C16" s="214">
        <v>11000</v>
      </c>
      <c r="D16" s="5">
        <f>Costos!$P$76</f>
        <v>5512137.9549408369</v>
      </c>
      <c r="E16" s="5">
        <f>C16*Costos!$L$93</f>
        <v>2527528.8895828556</v>
      </c>
      <c r="F16" s="5">
        <f t="shared" si="0"/>
        <v>8039666.8445236925</v>
      </c>
      <c r="G16" s="5">
        <f>C16*Ingresos!$E$2</f>
        <v>9900000</v>
      </c>
      <c r="H16" s="7"/>
      <c r="I16" s="7"/>
      <c r="J16" s="7"/>
      <c r="U16" s="95"/>
      <c r="Y16" s="214">
        <v>11000</v>
      </c>
      <c r="Z16" s="400">
        <f>Costos!$AQ$76</f>
        <v>6137353.4900708366</v>
      </c>
      <c r="AA16" s="5">
        <f>Y16*Costos!$AL$93</f>
        <v>2527528.8895828556</v>
      </c>
      <c r="AB16" s="400">
        <f t="shared" si="1"/>
        <v>8664882.3796536922</v>
      </c>
      <c r="AC16" s="5">
        <f>Y16*Ingresos!$E$2</f>
        <v>9900000</v>
      </c>
      <c r="AD16" s="7"/>
      <c r="AE16" s="7"/>
      <c r="AF16" s="7"/>
      <c r="AQ16" s="95"/>
    </row>
    <row r="17" spans="1:43" x14ac:dyDescent="0.25">
      <c r="C17" s="214">
        <v>12000</v>
      </c>
      <c r="D17" s="5">
        <f>Costos!$P$76</f>
        <v>5512137.9549408369</v>
      </c>
      <c r="E17" s="5">
        <f>C17*Costos!$L$93</f>
        <v>2757304.2431812971</v>
      </c>
      <c r="F17" s="5">
        <f t="shared" si="0"/>
        <v>8269442.1981221344</v>
      </c>
      <c r="G17" s="5">
        <f>C17*Ingresos!$E$2</f>
        <v>10800000</v>
      </c>
      <c r="H17" s="7"/>
      <c r="I17" s="7"/>
      <c r="J17" s="7"/>
      <c r="U17" s="95"/>
      <c r="Y17" s="214">
        <v>12000</v>
      </c>
      <c r="Z17" s="400">
        <f>Costos!$AQ$76</f>
        <v>6137353.4900708366</v>
      </c>
      <c r="AA17" s="5">
        <f>Y17*Costos!$AL$93</f>
        <v>2757304.2431812971</v>
      </c>
      <c r="AB17" s="400">
        <f t="shared" si="1"/>
        <v>8894657.7332521342</v>
      </c>
      <c r="AC17" s="5">
        <f>Y17*Ingresos!$E$2</f>
        <v>10800000</v>
      </c>
      <c r="AD17" s="7"/>
      <c r="AE17" s="7"/>
      <c r="AF17" s="7"/>
      <c r="AQ17" s="95"/>
    </row>
    <row r="18" spans="1:43" x14ac:dyDescent="0.25">
      <c r="C18" s="214">
        <v>13000</v>
      </c>
      <c r="D18" s="5">
        <f>Costos!$P$76</f>
        <v>5512137.9549408369</v>
      </c>
      <c r="E18" s="5">
        <f>C18*Costos!$L$93</f>
        <v>2987079.5967797386</v>
      </c>
      <c r="F18" s="5">
        <f t="shared" si="0"/>
        <v>8499217.5517205745</v>
      </c>
      <c r="G18" s="5">
        <f>C18*Ingresos!$E$2</f>
        <v>11700000</v>
      </c>
      <c r="H18" s="7"/>
      <c r="I18" s="7"/>
      <c r="J18" s="7"/>
      <c r="U18" s="95"/>
      <c r="Y18" s="214">
        <v>13000</v>
      </c>
      <c r="Z18" s="400">
        <f>Costos!$AQ$76</f>
        <v>6137353.4900708366</v>
      </c>
      <c r="AA18" s="5">
        <f>Y18*Costos!$AL$93</f>
        <v>2987079.5967797386</v>
      </c>
      <c r="AB18" s="400">
        <f t="shared" si="1"/>
        <v>9124433.0868505761</v>
      </c>
      <c r="AC18" s="5">
        <f>Y18*Ingresos!$E$2</f>
        <v>11700000</v>
      </c>
      <c r="AD18" s="7"/>
      <c r="AE18" s="7"/>
      <c r="AF18" s="7"/>
      <c r="AQ18" s="95"/>
    </row>
    <row r="19" spans="1:43" x14ac:dyDescent="0.25">
      <c r="C19" s="214">
        <v>14000</v>
      </c>
      <c r="D19" s="5">
        <f>Costos!$P$76</f>
        <v>5512137.9549408369</v>
      </c>
      <c r="E19" s="5">
        <f>C19*Costos!$L$93</f>
        <v>3216854.95037818</v>
      </c>
      <c r="F19" s="5">
        <f t="shared" si="0"/>
        <v>8728992.9053190164</v>
      </c>
      <c r="G19" s="5">
        <f>C19*Ingresos!$E$2</f>
        <v>12600000</v>
      </c>
      <c r="H19" s="7"/>
      <c r="I19" s="7"/>
      <c r="J19" s="7"/>
      <c r="U19" s="95"/>
      <c r="Y19" s="214">
        <v>14000</v>
      </c>
      <c r="Z19" s="400">
        <f>Costos!$AQ$76</f>
        <v>6137353.4900708366</v>
      </c>
      <c r="AA19" s="5">
        <f>Y19*Costos!$AL$93</f>
        <v>3216854.95037818</v>
      </c>
      <c r="AB19" s="400">
        <f t="shared" si="1"/>
        <v>9354208.4404490162</v>
      </c>
      <c r="AC19" s="5">
        <f>Y19*Ingresos!$E$2</f>
        <v>12600000</v>
      </c>
      <c r="AD19" s="7"/>
      <c r="AE19" s="7"/>
      <c r="AF19" s="7"/>
      <c r="AQ19" s="95"/>
    </row>
    <row r="20" spans="1:43" x14ac:dyDescent="0.25">
      <c r="C20" s="214">
        <v>15000</v>
      </c>
      <c r="D20" s="5">
        <f>Costos!$P$76</f>
        <v>5512137.9549408369</v>
      </c>
      <c r="E20" s="5">
        <f>C20*Costos!$L$93</f>
        <v>3446630.3039766215</v>
      </c>
      <c r="F20" s="5">
        <f t="shared" si="0"/>
        <v>8958768.2589174584</v>
      </c>
      <c r="G20" s="5">
        <f>C20*Ingresos!$E$2</f>
        <v>13500000</v>
      </c>
      <c r="H20" s="7"/>
      <c r="I20" s="7"/>
      <c r="J20" s="7"/>
      <c r="U20" s="95"/>
      <c r="Y20" s="214">
        <v>15000</v>
      </c>
      <c r="Z20" s="400">
        <f>Costos!$AQ$76</f>
        <v>6137353.4900708366</v>
      </c>
      <c r="AA20" s="5">
        <f>Y20*Costos!$AL$93</f>
        <v>3446630.3039766215</v>
      </c>
      <c r="AB20" s="400">
        <f t="shared" si="1"/>
        <v>9583983.7940474581</v>
      </c>
      <c r="AC20" s="5">
        <f>Y20*Ingresos!$E$2</f>
        <v>13500000</v>
      </c>
      <c r="AD20" s="7"/>
      <c r="AE20" s="7"/>
      <c r="AF20" s="7"/>
      <c r="AQ20" s="95"/>
    </row>
    <row r="21" spans="1:43" x14ac:dyDescent="0.25">
      <c r="C21" s="1"/>
      <c r="D21" s="7"/>
      <c r="E21" s="7"/>
      <c r="F21" s="7"/>
      <c r="G21" s="7"/>
      <c r="H21" s="7"/>
      <c r="I21" s="7"/>
      <c r="J21" s="7"/>
      <c r="U21" s="95"/>
      <c r="Y21" s="1"/>
      <c r="Z21" s="7"/>
      <c r="AA21" s="7"/>
      <c r="AB21" s="7"/>
      <c r="AC21" s="7"/>
      <c r="AD21" s="7"/>
      <c r="AE21" s="7"/>
      <c r="AF21" s="7"/>
      <c r="AQ21" s="95"/>
    </row>
    <row r="22" spans="1:43" x14ac:dyDescent="0.25">
      <c r="C22" s="3" t="s">
        <v>512</v>
      </c>
      <c r="D22" s="87">
        <f>D5/(Ingresos!E2-Costos!L93)</f>
        <v>8224.3140184944677</v>
      </c>
      <c r="E22" s="3" t="s">
        <v>480</v>
      </c>
      <c r="U22" s="95"/>
      <c r="Y22" s="3" t="s">
        <v>512</v>
      </c>
      <c r="Z22" s="87">
        <f>Z5/(Ingresos!E2-Costos!AL93)</f>
        <v>9157.1587571754262</v>
      </c>
      <c r="AA22" s="3" t="s">
        <v>480</v>
      </c>
      <c r="AQ22" s="95"/>
    </row>
    <row r="23" spans="1:43" x14ac:dyDescent="0.25">
      <c r="C23" s="3" t="s">
        <v>513</v>
      </c>
      <c r="D23" s="87">
        <f>Ingresos!D9</f>
        <v>8000</v>
      </c>
      <c r="E23" s="3" t="s">
        <v>480</v>
      </c>
      <c r="F23" s="4" t="str">
        <f>IF(D23&lt;D22,"UTILIDADES NEGATIVAS","UTILIDADES POSITIVAS")</f>
        <v>UTILIDADES NEGATIVAS</v>
      </c>
      <c r="U23" s="95"/>
      <c r="Y23" s="3" t="s">
        <v>513</v>
      </c>
      <c r="Z23" s="87">
        <f>Ingresos!D9</f>
        <v>8000</v>
      </c>
      <c r="AA23" s="3" t="s">
        <v>480</v>
      </c>
      <c r="AB23" s="4" t="str">
        <f>IF(Z23&lt;Z22,"UTILIDADES NEGATIVAS","UTILIDADES POSITIVAS")</f>
        <v>UTILIDADES NEGATIVAS</v>
      </c>
      <c r="AQ23" s="95"/>
    </row>
    <row r="24" spans="1:43" s="61" customFormat="1" ht="15.75" thickBot="1" x14ac:dyDescent="0.3">
      <c r="U24" s="99"/>
      <c r="AQ24" s="99"/>
    </row>
    <row r="25" spans="1:43" x14ac:dyDescent="0.25">
      <c r="U25" s="95"/>
      <c r="AQ25" s="95"/>
    </row>
    <row r="26" spans="1:43" x14ac:dyDescent="0.25">
      <c r="A26" s="56" t="s">
        <v>504</v>
      </c>
      <c r="B26" s="56"/>
      <c r="U26" s="95"/>
      <c r="W26" s="56" t="s">
        <v>504</v>
      </c>
      <c r="X26" s="56"/>
      <c r="AQ26" s="95"/>
    </row>
    <row r="27" spans="1:43" x14ac:dyDescent="0.25">
      <c r="A27" t="s">
        <v>402</v>
      </c>
      <c r="U27" s="95"/>
      <c r="W27" t="s">
        <v>402</v>
      </c>
      <c r="AQ27" s="95"/>
    </row>
    <row r="28" spans="1:43" x14ac:dyDescent="0.25">
      <c r="C28" s="6" t="s">
        <v>508</v>
      </c>
      <c r="D28" s="6" t="s">
        <v>506</v>
      </c>
      <c r="E28" s="6" t="s">
        <v>507</v>
      </c>
      <c r="F28" s="6" t="s">
        <v>505</v>
      </c>
      <c r="G28" s="6" t="s">
        <v>511</v>
      </c>
      <c r="H28" s="6"/>
      <c r="I28" s="6"/>
      <c r="J28" s="6"/>
      <c r="U28" s="95"/>
      <c r="Y28" s="6" t="s">
        <v>508</v>
      </c>
      <c r="Z28" s="440" t="s">
        <v>506</v>
      </c>
      <c r="AA28" s="6" t="s">
        <v>507</v>
      </c>
      <c r="AB28" s="440" t="s">
        <v>505</v>
      </c>
      <c r="AC28" s="6" t="s">
        <v>511</v>
      </c>
      <c r="AD28" s="6"/>
      <c r="AE28" s="6"/>
      <c r="AF28" s="6"/>
      <c r="AQ28" s="95"/>
    </row>
    <row r="29" spans="1:43" x14ac:dyDescent="0.25">
      <c r="C29" s="214">
        <v>0</v>
      </c>
      <c r="D29" s="5">
        <f>Costos!$P$80</f>
        <v>5464236.8593556257</v>
      </c>
      <c r="E29" s="5">
        <f>C29*Costos!$L$97</f>
        <v>0</v>
      </c>
      <c r="F29" s="5">
        <f>D29+E29</f>
        <v>5464236.8593556257</v>
      </c>
      <c r="G29" s="5">
        <f>C29*Ingresos!$E$2</f>
        <v>0</v>
      </c>
      <c r="H29" s="5"/>
      <c r="I29" s="5"/>
      <c r="J29" s="5"/>
      <c r="U29" s="95"/>
      <c r="Y29" s="214">
        <v>0</v>
      </c>
      <c r="Z29" s="400">
        <f>Costos!$AQ$80</f>
        <v>5963576.360851625</v>
      </c>
      <c r="AA29" s="5">
        <f>Y29*Costos!$AL$97</f>
        <v>0</v>
      </c>
      <c r="AB29" s="400">
        <f>Z29+AA29</f>
        <v>5963576.360851625</v>
      </c>
      <c r="AC29" s="5">
        <f>Y29*Ingresos!$E$2</f>
        <v>0</v>
      </c>
      <c r="AD29" s="5"/>
      <c r="AE29" s="5"/>
      <c r="AF29" s="5"/>
      <c r="AQ29" s="95"/>
    </row>
    <row r="30" spans="1:43" x14ac:dyDescent="0.25">
      <c r="C30" s="214">
        <v>1000</v>
      </c>
      <c r="D30" s="5">
        <f>Costos!$P$80</f>
        <v>5464236.8593556257</v>
      </c>
      <c r="E30" s="5">
        <f>C30*Costos!$L$97</f>
        <v>290072.36468678288</v>
      </c>
      <c r="F30" s="5">
        <f t="shared" ref="F30:F44" si="2">D30+E30</f>
        <v>5754309.2240424082</v>
      </c>
      <c r="G30" s="5">
        <f>C30*Ingresos!$E$2</f>
        <v>900000</v>
      </c>
      <c r="H30" s="5"/>
      <c r="I30" s="5"/>
      <c r="J30" s="5"/>
      <c r="U30" s="95"/>
      <c r="Y30" s="214">
        <v>1000</v>
      </c>
      <c r="Z30" s="400">
        <f>Costos!$AQ$80</f>
        <v>5963576.360851625</v>
      </c>
      <c r="AA30" s="5">
        <f>Y30*Costos!$AL$97</f>
        <v>290072.36468678288</v>
      </c>
      <c r="AB30" s="400">
        <f t="shared" ref="AB30:AB44" si="3">Z30+AA30</f>
        <v>6253648.7255384075</v>
      </c>
      <c r="AC30" s="5">
        <f>Y30*Ingresos!$E$2</f>
        <v>900000</v>
      </c>
      <c r="AD30" s="5"/>
      <c r="AE30" s="5"/>
      <c r="AF30" s="5"/>
      <c r="AQ30" s="95"/>
    </row>
    <row r="31" spans="1:43" x14ac:dyDescent="0.25">
      <c r="C31" s="214">
        <v>2000</v>
      </c>
      <c r="D31" s="5">
        <f>Costos!$P$80</f>
        <v>5464236.8593556257</v>
      </c>
      <c r="E31" s="5">
        <f>C31*Costos!$L$97</f>
        <v>580144.72937356576</v>
      </c>
      <c r="F31" s="5">
        <f t="shared" si="2"/>
        <v>6044381.5887291916</v>
      </c>
      <c r="G31" s="5">
        <f>C31*Ingresos!$E$2</f>
        <v>1800000</v>
      </c>
      <c r="H31" s="5"/>
      <c r="I31" s="5"/>
      <c r="J31" s="5"/>
      <c r="U31" s="95"/>
      <c r="Y31" s="214">
        <v>2000</v>
      </c>
      <c r="Z31" s="400">
        <f>Costos!$AQ$80</f>
        <v>5963576.360851625</v>
      </c>
      <c r="AA31" s="5">
        <f>Y31*Costos!$AL$97</f>
        <v>580144.72937356576</v>
      </c>
      <c r="AB31" s="400">
        <f t="shared" si="3"/>
        <v>6543721.0902251909</v>
      </c>
      <c r="AC31" s="5">
        <f>Y31*Ingresos!$E$2</f>
        <v>1800000</v>
      </c>
      <c r="AD31" s="5"/>
      <c r="AE31" s="5"/>
      <c r="AF31" s="5"/>
      <c r="AQ31" s="95"/>
    </row>
    <row r="32" spans="1:43" x14ac:dyDescent="0.25">
      <c r="C32" s="214">
        <v>3000</v>
      </c>
      <c r="D32" s="5">
        <f>Costos!$P$80</f>
        <v>5464236.8593556257</v>
      </c>
      <c r="E32" s="5">
        <f>C32*Costos!$L$97</f>
        <v>870217.09406034858</v>
      </c>
      <c r="F32" s="5">
        <f t="shared" si="2"/>
        <v>6334453.953415974</v>
      </c>
      <c r="G32" s="5">
        <f>C32*Ingresos!$E$2</f>
        <v>2700000</v>
      </c>
      <c r="H32" s="5"/>
      <c r="I32" s="5"/>
      <c r="J32" s="5"/>
      <c r="U32" s="95"/>
      <c r="Y32" s="214">
        <v>3000</v>
      </c>
      <c r="Z32" s="400">
        <f>Costos!$AQ$80</f>
        <v>5963576.360851625</v>
      </c>
      <c r="AA32" s="5">
        <f>Y32*Costos!$AL$97</f>
        <v>870217.09406034858</v>
      </c>
      <c r="AB32" s="400">
        <f t="shared" si="3"/>
        <v>6833793.4549119733</v>
      </c>
      <c r="AC32" s="5">
        <f>Y32*Ingresos!$E$2</f>
        <v>2700000</v>
      </c>
      <c r="AD32" s="5"/>
      <c r="AE32" s="5"/>
      <c r="AF32" s="5"/>
      <c r="AQ32" s="95"/>
    </row>
    <row r="33" spans="3:43" x14ac:dyDescent="0.25">
      <c r="C33" s="214">
        <v>4000</v>
      </c>
      <c r="D33" s="5">
        <f>Costos!$P$80</f>
        <v>5464236.8593556257</v>
      </c>
      <c r="E33" s="5">
        <f>C33*Costos!$L$97</f>
        <v>1160289.4587471315</v>
      </c>
      <c r="F33" s="5">
        <f t="shared" si="2"/>
        <v>6624526.3181027574</v>
      </c>
      <c r="G33" s="5">
        <f>C33*Ingresos!$E$2</f>
        <v>3600000</v>
      </c>
      <c r="H33" s="5"/>
      <c r="I33" s="5"/>
      <c r="J33" s="5"/>
      <c r="U33" s="95"/>
      <c r="Y33" s="214">
        <v>4000</v>
      </c>
      <c r="Z33" s="400">
        <f>Costos!$AQ$80</f>
        <v>5963576.360851625</v>
      </c>
      <c r="AA33" s="5">
        <f>Y33*Costos!$AL$97</f>
        <v>1160289.4587471315</v>
      </c>
      <c r="AB33" s="400">
        <f t="shared" si="3"/>
        <v>7123865.8195987567</v>
      </c>
      <c r="AC33" s="5">
        <f>Y33*Ingresos!$E$2</f>
        <v>3600000</v>
      </c>
      <c r="AD33" s="5"/>
      <c r="AE33" s="5"/>
      <c r="AF33" s="5"/>
      <c r="AQ33" s="95"/>
    </row>
    <row r="34" spans="3:43" x14ac:dyDescent="0.25">
      <c r="C34" s="214">
        <v>5000</v>
      </c>
      <c r="D34" s="5">
        <f>Costos!$P$80</f>
        <v>5464236.8593556257</v>
      </c>
      <c r="E34" s="5">
        <f>C34*Costos!$L$97</f>
        <v>1450361.8234339142</v>
      </c>
      <c r="F34" s="5">
        <f t="shared" si="2"/>
        <v>6914598.6827895399</v>
      </c>
      <c r="G34" s="5">
        <f>C34*Ingresos!$E$2</f>
        <v>4500000</v>
      </c>
      <c r="H34" s="5"/>
      <c r="I34" s="5"/>
      <c r="J34" s="5"/>
      <c r="U34" s="95"/>
      <c r="Y34" s="214">
        <v>5000</v>
      </c>
      <c r="Z34" s="400">
        <f>Costos!$AQ$80</f>
        <v>5963576.360851625</v>
      </c>
      <c r="AA34" s="5">
        <f>Y34*Costos!$AL$97</f>
        <v>1450361.8234339142</v>
      </c>
      <c r="AB34" s="400">
        <f t="shared" si="3"/>
        <v>7413938.1842855392</v>
      </c>
      <c r="AC34" s="5">
        <f>Y34*Ingresos!$E$2</f>
        <v>4500000</v>
      </c>
      <c r="AD34" s="5"/>
      <c r="AE34" s="5"/>
      <c r="AF34" s="5"/>
      <c r="AQ34" s="95"/>
    </row>
    <row r="35" spans="3:43" x14ac:dyDescent="0.25">
      <c r="C35" s="214">
        <v>6000</v>
      </c>
      <c r="D35" s="5">
        <f>Costos!$P$80</f>
        <v>5464236.8593556257</v>
      </c>
      <c r="E35" s="5">
        <f>C35*Costos!$L$97</f>
        <v>1740434.1881206972</v>
      </c>
      <c r="F35" s="5">
        <f t="shared" si="2"/>
        <v>7204671.0474763233</v>
      </c>
      <c r="G35" s="5">
        <f>C35*Ingresos!$E$2</f>
        <v>5400000</v>
      </c>
      <c r="H35" s="5"/>
      <c r="I35" s="5"/>
      <c r="J35" s="5"/>
      <c r="U35" s="95"/>
      <c r="Y35" s="214">
        <v>6000</v>
      </c>
      <c r="Z35" s="400">
        <f>Costos!$AQ$80</f>
        <v>5963576.360851625</v>
      </c>
      <c r="AA35" s="5">
        <f>Y35*Costos!$AL$97</f>
        <v>1740434.1881206972</v>
      </c>
      <c r="AB35" s="400">
        <f t="shared" si="3"/>
        <v>7704010.5489723217</v>
      </c>
      <c r="AC35" s="5">
        <f>Y35*Ingresos!$E$2</f>
        <v>5400000</v>
      </c>
      <c r="AD35" s="5"/>
      <c r="AE35" s="5"/>
      <c r="AF35" s="5"/>
      <c r="AQ35" s="95"/>
    </row>
    <row r="36" spans="3:43" x14ac:dyDescent="0.25">
      <c r="C36" s="214">
        <v>7000</v>
      </c>
      <c r="D36" s="5">
        <f>Costos!$P$80</f>
        <v>5464236.8593556257</v>
      </c>
      <c r="E36" s="5">
        <f>C36*Costos!$L$97</f>
        <v>2030506.5528074801</v>
      </c>
      <c r="F36" s="5">
        <f t="shared" si="2"/>
        <v>7494743.4121631058</v>
      </c>
      <c r="G36" s="5">
        <f>C36*Ingresos!$E$2</f>
        <v>6300000</v>
      </c>
      <c r="H36" s="5"/>
      <c r="I36" s="5"/>
      <c r="J36" s="5"/>
      <c r="U36" s="95"/>
      <c r="Y36" s="214">
        <v>7000</v>
      </c>
      <c r="Z36" s="400">
        <f>Costos!$AQ$80</f>
        <v>5963576.360851625</v>
      </c>
      <c r="AA36" s="5">
        <f>Y36*Costos!$AL$97</f>
        <v>2030506.5528074801</v>
      </c>
      <c r="AB36" s="400">
        <f t="shared" si="3"/>
        <v>7994082.9136591051</v>
      </c>
      <c r="AC36" s="5">
        <f>Y36*Ingresos!$E$2</f>
        <v>6300000</v>
      </c>
      <c r="AD36" s="5"/>
      <c r="AE36" s="5"/>
      <c r="AF36" s="5"/>
      <c r="AQ36" s="95"/>
    </row>
    <row r="37" spans="3:43" x14ac:dyDescent="0.25">
      <c r="C37" s="214">
        <v>8000</v>
      </c>
      <c r="D37" s="5">
        <f>Costos!$P$80</f>
        <v>5464236.8593556257</v>
      </c>
      <c r="E37" s="5">
        <f>C37*Costos!$L$97</f>
        <v>2320578.917494263</v>
      </c>
      <c r="F37" s="5">
        <f t="shared" si="2"/>
        <v>7784815.7768498883</v>
      </c>
      <c r="G37" s="5">
        <f>C37*Ingresos!$E$2</f>
        <v>7200000</v>
      </c>
      <c r="H37" s="5"/>
      <c r="I37" s="5"/>
      <c r="J37" s="5"/>
      <c r="U37" s="95"/>
      <c r="Y37" s="214">
        <v>8000</v>
      </c>
      <c r="Z37" s="400">
        <f>Costos!$AQ$80</f>
        <v>5963576.360851625</v>
      </c>
      <c r="AA37" s="5">
        <f>Y37*Costos!$AL$97</f>
        <v>2320578.917494263</v>
      </c>
      <c r="AB37" s="400">
        <f t="shared" si="3"/>
        <v>8284155.2783458885</v>
      </c>
      <c r="AC37" s="5">
        <f>Y37*Ingresos!$E$2</f>
        <v>7200000</v>
      </c>
      <c r="AD37" s="5"/>
      <c r="AE37" s="5"/>
      <c r="AF37" s="5"/>
      <c r="AQ37" s="95"/>
    </row>
    <row r="38" spans="3:43" x14ac:dyDescent="0.25">
      <c r="C38" s="214">
        <v>9000</v>
      </c>
      <c r="D38" s="5">
        <f>Costos!$P$80</f>
        <v>5464236.8593556257</v>
      </c>
      <c r="E38" s="5">
        <f>C38*Costos!$L$97</f>
        <v>2610651.282181046</v>
      </c>
      <c r="F38" s="5">
        <f t="shared" si="2"/>
        <v>8074888.1415366717</v>
      </c>
      <c r="G38" s="5">
        <f>C38*Ingresos!$E$2</f>
        <v>8100000</v>
      </c>
      <c r="H38" s="5"/>
      <c r="I38" s="5"/>
      <c r="J38" s="5"/>
      <c r="U38" s="95"/>
      <c r="Y38" s="214">
        <v>9000</v>
      </c>
      <c r="Z38" s="400">
        <f>Costos!$AQ$80</f>
        <v>5963576.360851625</v>
      </c>
      <c r="AA38" s="5">
        <f>Y38*Costos!$AL$97</f>
        <v>2610651.282181046</v>
      </c>
      <c r="AB38" s="400">
        <f t="shared" si="3"/>
        <v>8574227.64303267</v>
      </c>
      <c r="AC38" s="5">
        <f>Y38*Ingresos!$E$2</f>
        <v>8100000</v>
      </c>
      <c r="AD38" s="5"/>
      <c r="AE38" s="5"/>
      <c r="AF38" s="5"/>
      <c r="AQ38" s="95"/>
    </row>
    <row r="39" spans="3:43" x14ac:dyDescent="0.25">
      <c r="C39" s="214">
        <v>10000</v>
      </c>
      <c r="D39" s="5">
        <f>Costos!$P$80</f>
        <v>5464236.8593556257</v>
      </c>
      <c r="E39" s="5">
        <f>C39*Costos!$L$97</f>
        <v>2900723.6468678284</v>
      </c>
      <c r="F39" s="5">
        <f t="shared" si="2"/>
        <v>8364960.5062234541</v>
      </c>
      <c r="G39" s="5">
        <f>C39*Ingresos!$E$2</f>
        <v>9000000</v>
      </c>
      <c r="H39" s="5"/>
      <c r="I39" s="5"/>
      <c r="J39" s="5"/>
      <c r="U39" s="95"/>
      <c r="Y39" s="214">
        <v>10000</v>
      </c>
      <c r="Z39" s="400">
        <f>Costos!$AQ$80</f>
        <v>5963576.360851625</v>
      </c>
      <c r="AA39" s="5">
        <f>Y39*Costos!$AL$97</f>
        <v>2900723.6468678284</v>
      </c>
      <c r="AB39" s="400">
        <f t="shared" si="3"/>
        <v>8864300.0077194534</v>
      </c>
      <c r="AC39" s="5">
        <f>Y39*Ingresos!$E$2</f>
        <v>9000000</v>
      </c>
      <c r="AD39" s="5"/>
      <c r="AE39" s="5"/>
      <c r="AF39" s="5"/>
      <c r="AQ39" s="95"/>
    </row>
    <row r="40" spans="3:43" x14ac:dyDescent="0.25">
      <c r="C40" s="214">
        <v>11000</v>
      </c>
      <c r="D40" s="5">
        <f>Costos!$P$80</f>
        <v>5464236.8593556257</v>
      </c>
      <c r="E40" s="5">
        <f>C40*Costos!$L$97</f>
        <v>3190796.0115546114</v>
      </c>
      <c r="F40" s="5">
        <f t="shared" si="2"/>
        <v>8655032.8709102366</v>
      </c>
      <c r="G40" s="5">
        <f>C40*Ingresos!$E$2</f>
        <v>9900000</v>
      </c>
      <c r="H40" s="7"/>
      <c r="I40" s="7"/>
      <c r="J40" s="7"/>
      <c r="U40" s="95"/>
      <c r="Y40" s="214">
        <v>11000</v>
      </c>
      <c r="Z40" s="400">
        <f>Costos!$AQ$80</f>
        <v>5963576.360851625</v>
      </c>
      <c r="AA40" s="5">
        <f>Y40*Costos!$AL$97</f>
        <v>3190796.0115546114</v>
      </c>
      <c r="AB40" s="400">
        <f t="shared" si="3"/>
        <v>9154372.3724062368</v>
      </c>
      <c r="AC40" s="5">
        <f>Y40*Ingresos!$E$2</f>
        <v>9900000</v>
      </c>
      <c r="AD40" s="7"/>
      <c r="AE40" s="7"/>
      <c r="AF40" s="7"/>
      <c r="AQ40" s="95"/>
    </row>
    <row r="41" spans="3:43" x14ac:dyDescent="0.25">
      <c r="C41" s="214">
        <v>12000</v>
      </c>
      <c r="D41" s="5">
        <f>Costos!$P$80</f>
        <v>5464236.8593556257</v>
      </c>
      <c r="E41" s="5">
        <f>C41*Costos!$L$97</f>
        <v>3480868.3762413943</v>
      </c>
      <c r="F41" s="5">
        <f t="shared" si="2"/>
        <v>8945105.23559702</v>
      </c>
      <c r="G41" s="5">
        <f>C41*Ingresos!$E$2</f>
        <v>10800000</v>
      </c>
      <c r="H41" s="7"/>
      <c r="I41" s="7"/>
      <c r="J41" s="7"/>
      <c r="U41" s="95"/>
      <c r="Y41" s="214">
        <v>12000</v>
      </c>
      <c r="Z41" s="400">
        <f>Costos!$AQ$80</f>
        <v>5963576.360851625</v>
      </c>
      <c r="AA41" s="5">
        <f>Y41*Costos!$AL$97</f>
        <v>3480868.3762413943</v>
      </c>
      <c r="AB41" s="400">
        <f t="shared" si="3"/>
        <v>9444444.7370930202</v>
      </c>
      <c r="AC41" s="5">
        <f>Y41*Ingresos!$E$2</f>
        <v>10800000</v>
      </c>
      <c r="AD41" s="7"/>
      <c r="AE41" s="7"/>
      <c r="AF41" s="7"/>
      <c r="AQ41" s="95"/>
    </row>
    <row r="42" spans="3:43" x14ac:dyDescent="0.25">
      <c r="C42" s="214">
        <v>13000</v>
      </c>
      <c r="D42" s="5">
        <f>Costos!$P$80</f>
        <v>5464236.8593556257</v>
      </c>
      <c r="E42" s="5">
        <f>C42*Costos!$L$97</f>
        <v>3770940.7409281773</v>
      </c>
      <c r="F42" s="5">
        <f t="shared" si="2"/>
        <v>9235177.6002838034</v>
      </c>
      <c r="G42" s="5">
        <f>C42*Ingresos!$E$2</f>
        <v>11700000</v>
      </c>
      <c r="H42" s="7"/>
      <c r="I42" s="7"/>
      <c r="J42" s="7"/>
      <c r="U42" s="95"/>
      <c r="Y42" s="214">
        <v>13000</v>
      </c>
      <c r="Z42" s="400">
        <f>Costos!$AQ$80</f>
        <v>5963576.360851625</v>
      </c>
      <c r="AA42" s="5">
        <f>Y42*Costos!$AL$97</f>
        <v>3770940.7409281773</v>
      </c>
      <c r="AB42" s="400">
        <f t="shared" si="3"/>
        <v>9734517.1017798018</v>
      </c>
      <c r="AC42" s="5">
        <f>Y42*Ingresos!$E$2</f>
        <v>11700000</v>
      </c>
      <c r="AD42" s="7"/>
      <c r="AE42" s="7"/>
      <c r="AF42" s="7"/>
      <c r="AQ42" s="95"/>
    </row>
    <row r="43" spans="3:43" x14ac:dyDescent="0.25">
      <c r="C43" s="214">
        <v>14000</v>
      </c>
      <c r="D43" s="5">
        <f>Costos!$P$80</f>
        <v>5464236.8593556257</v>
      </c>
      <c r="E43" s="5">
        <f>C43*Costos!$L$97</f>
        <v>4061013.1056149602</v>
      </c>
      <c r="F43" s="5">
        <f t="shared" si="2"/>
        <v>9525249.964970585</v>
      </c>
      <c r="G43" s="5">
        <f>C43*Ingresos!$E$2</f>
        <v>12600000</v>
      </c>
      <c r="H43" s="7"/>
      <c r="I43" s="7"/>
      <c r="J43" s="7"/>
      <c r="U43" s="95"/>
      <c r="Y43" s="214">
        <v>14000</v>
      </c>
      <c r="Z43" s="400">
        <f>Costos!$AQ$80</f>
        <v>5963576.360851625</v>
      </c>
      <c r="AA43" s="5">
        <f>Y43*Costos!$AL$97</f>
        <v>4061013.1056149602</v>
      </c>
      <c r="AB43" s="400">
        <f t="shared" si="3"/>
        <v>10024589.466466585</v>
      </c>
      <c r="AC43" s="5">
        <f>Y43*Ingresos!$E$2</f>
        <v>12600000</v>
      </c>
      <c r="AD43" s="7"/>
      <c r="AE43" s="7"/>
      <c r="AF43" s="7"/>
      <c r="AQ43" s="95"/>
    </row>
    <row r="44" spans="3:43" x14ac:dyDescent="0.25">
      <c r="C44" s="214">
        <v>15000</v>
      </c>
      <c r="D44" s="5">
        <f>Costos!$P$80</f>
        <v>5464236.8593556257</v>
      </c>
      <c r="E44" s="5">
        <f>C44*Costos!$L$97</f>
        <v>4351085.4703017427</v>
      </c>
      <c r="F44" s="5">
        <f t="shared" si="2"/>
        <v>9815322.3296573684</v>
      </c>
      <c r="G44" s="5">
        <f>C44*Ingresos!$E$2</f>
        <v>13500000</v>
      </c>
      <c r="H44" s="7"/>
      <c r="I44" s="7"/>
      <c r="J44" s="7"/>
      <c r="U44" s="95"/>
      <c r="Y44" s="214">
        <v>15000</v>
      </c>
      <c r="Z44" s="400">
        <f>Costos!$AQ$80</f>
        <v>5963576.360851625</v>
      </c>
      <c r="AA44" s="5">
        <f>Y44*Costos!$AL$97</f>
        <v>4351085.4703017427</v>
      </c>
      <c r="AB44" s="400">
        <f t="shared" si="3"/>
        <v>10314661.831153367</v>
      </c>
      <c r="AC44" s="5">
        <f>Y44*Ingresos!$E$2</f>
        <v>13500000</v>
      </c>
      <c r="AD44" s="7"/>
      <c r="AE44" s="7"/>
      <c r="AF44" s="7"/>
      <c r="AQ44" s="95"/>
    </row>
    <row r="45" spans="3:43" x14ac:dyDescent="0.25">
      <c r="C45" s="1"/>
      <c r="D45" s="7"/>
      <c r="E45" s="7"/>
      <c r="F45" s="7"/>
      <c r="G45" s="7"/>
      <c r="H45" s="7"/>
      <c r="I45" s="7"/>
      <c r="J45" s="7"/>
      <c r="U45" s="95"/>
      <c r="Y45" s="1"/>
      <c r="Z45" s="7"/>
      <c r="AA45" s="7"/>
      <c r="AB45" s="7"/>
      <c r="AC45" s="7"/>
      <c r="AD45" s="7"/>
      <c r="AE45" s="7"/>
      <c r="AF45" s="7"/>
      <c r="AQ45" s="95"/>
    </row>
    <row r="46" spans="3:43" x14ac:dyDescent="0.25">
      <c r="C46" s="3" t="s">
        <v>512</v>
      </c>
      <c r="D46" s="87">
        <f>D29/(Ingresos!E2-Costos!L97)</f>
        <v>8958.8281346680851</v>
      </c>
      <c r="E46" s="3" t="s">
        <v>480</v>
      </c>
      <c r="U46" s="95"/>
      <c r="Y46" s="3" t="s">
        <v>512</v>
      </c>
      <c r="Z46" s="87">
        <f>Z29/(Ingresos!E2-Costos!AL97)</f>
        <v>9777.5146026776438</v>
      </c>
      <c r="AA46" s="3" t="s">
        <v>480</v>
      </c>
      <c r="AQ46" s="95"/>
    </row>
    <row r="47" spans="3:43" x14ac:dyDescent="0.25">
      <c r="C47" s="3" t="s">
        <v>514</v>
      </c>
      <c r="D47" s="87">
        <f>Ingresos!D13</f>
        <v>11000</v>
      </c>
      <c r="E47" s="3" t="s">
        <v>480</v>
      </c>
      <c r="F47" s="4" t="str">
        <f>IF(D47&lt;D46,"UTILIDADES NEGATIVAS","UTILIDADES POSITIVAS")</f>
        <v>UTILIDADES POSITIVAS</v>
      </c>
      <c r="U47" s="95"/>
      <c r="Y47" s="3" t="s">
        <v>514</v>
      </c>
      <c r="Z47" s="87">
        <f>Ingresos!D13</f>
        <v>11000</v>
      </c>
      <c r="AA47" s="3" t="s">
        <v>480</v>
      </c>
      <c r="AB47" s="4" t="str">
        <f>IF(Z47&lt;Z46,"UTILIDADES NEGATIVAS","UTILIDADES POSITIVAS")</f>
        <v>UTILIDADES POSITIVAS</v>
      </c>
      <c r="AQ47" s="95"/>
    </row>
    <row r="48" spans="3:43" s="61" customFormat="1" ht="15.75" thickBot="1" x14ac:dyDescent="0.3">
      <c r="U48" s="99"/>
      <c r="AQ48" s="99"/>
    </row>
    <row r="49" spans="1:43" x14ac:dyDescent="0.25">
      <c r="U49" s="95"/>
      <c r="AQ49" s="95"/>
    </row>
    <row r="50" spans="1:43" x14ac:dyDescent="0.25">
      <c r="A50" s="56" t="s">
        <v>504</v>
      </c>
      <c r="B50" s="56"/>
      <c r="U50" s="95"/>
      <c r="W50" s="56" t="s">
        <v>504</v>
      </c>
      <c r="X50" s="56"/>
      <c r="AQ50" s="95"/>
    </row>
    <row r="51" spans="1:43" x14ac:dyDescent="0.25">
      <c r="A51" t="s">
        <v>408</v>
      </c>
      <c r="U51" s="95"/>
      <c r="W51" t="s">
        <v>408</v>
      </c>
      <c r="AQ51" s="95"/>
    </row>
    <row r="52" spans="1:43" x14ac:dyDescent="0.25">
      <c r="C52" s="6" t="s">
        <v>508</v>
      </c>
      <c r="D52" s="6" t="s">
        <v>506</v>
      </c>
      <c r="E52" s="6" t="s">
        <v>507</v>
      </c>
      <c r="F52" s="6" t="s">
        <v>505</v>
      </c>
      <c r="G52" s="6" t="s">
        <v>511</v>
      </c>
      <c r="H52" s="6"/>
      <c r="I52" s="6"/>
      <c r="J52" s="6"/>
      <c r="U52" s="95"/>
      <c r="Y52" s="6" t="s">
        <v>508</v>
      </c>
      <c r="Z52" s="440" t="s">
        <v>506</v>
      </c>
      <c r="AA52" s="6" t="s">
        <v>507</v>
      </c>
      <c r="AB52" s="440" t="s">
        <v>505</v>
      </c>
      <c r="AC52" s="6" t="s">
        <v>511</v>
      </c>
      <c r="AD52" s="6"/>
      <c r="AE52" s="6"/>
      <c r="AF52" s="6"/>
      <c r="AQ52" s="95"/>
    </row>
    <row r="53" spans="1:43" x14ac:dyDescent="0.25">
      <c r="C53" s="214">
        <v>0</v>
      </c>
      <c r="D53" s="5">
        <f>Costos!$P$85</f>
        <v>4280360.8096624054</v>
      </c>
      <c r="E53" s="5">
        <f>C53*Costos!$L$102</f>
        <v>0</v>
      </c>
      <c r="F53" s="5">
        <f>D53+E53</f>
        <v>4280360.8096624054</v>
      </c>
      <c r="G53" s="5">
        <f>C53*Ingresos!$E$2</f>
        <v>0</v>
      </c>
      <c r="H53" s="5"/>
      <c r="I53" s="5"/>
      <c r="J53" s="5"/>
      <c r="U53" s="95"/>
      <c r="Y53" s="214">
        <v>0</v>
      </c>
      <c r="Z53" s="400">
        <f>Costos!$AQ$85</f>
        <v>4338925.9617874054</v>
      </c>
      <c r="AA53" s="5">
        <f>Y53*Costos!$AL$102</f>
        <v>0</v>
      </c>
      <c r="AB53" s="400">
        <f>Z53+AA53</f>
        <v>4338925.9617874054</v>
      </c>
      <c r="AC53" s="5">
        <f>Y53*Ingresos!$E$2</f>
        <v>0</v>
      </c>
      <c r="AD53" s="5"/>
      <c r="AE53" s="5"/>
      <c r="AF53" s="5"/>
      <c r="AQ53" s="95"/>
    </row>
    <row r="54" spans="1:43" x14ac:dyDescent="0.25">
      <c r="C54" s="214">
        <v>1000</v>
      </c>
      <c r="D54" s="5">
        <f>Costos!$P$85</f>
        <v>4280360.8096624054</v>
      </c>
      <c r="E54" s="5">
        <f>C54*Costos!$L$102</f>
        <v>434677.72921031475</v>
      </c>
      <c r="F54" s="5">
        <f t="shared" ref="F54:F68" si="4">D54+E54</f>
        <v>4715038.5388727197</v>
      </c>
      <c r="G54" s="5">
        <f>C54*Ingresos!$E$2</f>
        <v>900000</v>
      </c>
      <c r="H54" s="5"/>
      <c r="I54" s="5"/>
      <c r="J54" s="5"/>
      <c r="U54" s="95"/>
      <c r="Y54" s="214">
        <v>1000</v>
      </c>
      <c r="Z54" s="400">
        <f>Costos!$AQ$85</f>
        <v>4338925.9617874054</v>
      </c>
      <c r="AA54" s="5">
        <f>Y54*Costos!$AL$102</f>
        <v>434677.72921031475</v>
      </c>
      <c r="AB54" s="400">
        <f t="shared" ref="AB54:AB68" si="5">Z54+AA54</f>
        <v>4773603.6909977198</v>
      </c>
      <c r="AC54" s="5">
        <f>Y54*Ingresos!$E$2</f>
        <v>900000</v>
      </c>
      <c r="AD54" s="5"/>
      <c r="AE54" s="5"/>
      <c r="AF54" s="5"/>
      <c r="AQ54" s="95"/>
    </row>
    <row r="55" spans="1:43" x14ac:dyDescent="0.25">
      <c r="C55" s="214">
        <v>2000</v>
      </c>
      <c r="D55" s="5">
        <f>Costos!$P$85</f>
        <v>4280360.8096624054</v>
      </c>
      <c r="E55" s="5">
        <f>C55*Costos!$L$102</f>
        <v>869355.4584206295</v>
      </c>
      <c r="F55" s="5">
        <f t="shared" si="4"/>
        <v>5149716.268083035</v>
      </c>
      <c r="G55" s="5">
        <f>C55*Ingresos!$E$2</f>
        <v>1800000</v>
      </c>
      <c r="H55" s="5"/>
      <c r="I55" s="5"/>
      <c r="J55" s="5"/>
      <c r="U55" s="95"/>
      <c r="Y55" s="214">
        <v>2000</v>
      </c>
      <c r="Z55" s="400">
        <f>Costos!$AQ$85</f>
        <v>4338925.9617874054</v>
      </c>
      <c r="AA55" s="5">
        <f>Y55*Costos!$AL$102</f>
        <v>869355.4584206295</v>
      </c>
      <c r="AB55" s="400">
        <f t="shared" si="5"/>
        <v>5208281.420208035</v>
      </c>
      <c r="AC55" s="5">
        <f>Y55*Ingresos!$E$2</f>
        <v>1800000</v>
      </c>
      <c r="AD55" s="5"/>
      <c r="AE55" s="5"/>
      <c r="AF55" s="5"/>
      <c r="AQ55" s="95"/>
    </row>
    <row r="56" spans="1:43" x14ac:dyDescent="0.25">
      <c r="C56" s="214">
        <v>3000</v>
      </c>
      <c r="D56" s="5">
        <f>Costos!$P$85</f>
        <v>4280360.8096624054</v>
      </c>
      <c r="E56" s="5">
        <f>C56*Costos!$L$102</f>
        <v>1304033.1876309442</v>
      </c>
      <c r="F56" s="5">
        <f t="shared" si="4"/>
        <v>5584393.9972933494</v>
      </c>
      <c r="G56" s="5">
        <f>C56*Ingresos!$E$2</f>
        <v>2700000</v>
      </c>
      <c r="H56" s="5"/>
      <c r="I56" s="5"/>
      <c r="J56" s="5"/>
      <c r="U56" s="95"/>
      <c r="Y56" s="214">
        <v>3000</v>
      </c>
      <c r="Z56" s="400">
        <f>Costos!$AQ$85</f>
        <v>4338925.9617874054</v>
      </c>
      <c r="AA56" s="5">
        <f>Y56*Costos!$AL$102</f>
        <v>1304033.1876309442</v>
      </c>
      <c r="AB56" s="400">
        <f t="shared" si="5"/>
        <v>5642959.1494183494</v>
      </c>
      <c r="AC56" s="5">
        <f>Y56*Ingresos!$E$2</f>
        <v>2700000</v>
      </c>
      <c r="AD56" s="5"/>
      <c r="AE56" s="5"/>
      <c r="AF56" s="5"/>
      <c r="AQ56" s="95"/>
    </row>
    <row r="57" spans="1:43" x14ac:dyDescent="0.25">
      <c r="C57" s="214">
        <v>4000</v>
      </c>
      <c r="D57" s="5">
        <f>Costos!$P$85</f>
        <v>4280360.8096624054</v>
      </c>
      <c r="E57" s="5">
        <f>C57*Costos!$L$102</f>
        <v>1738710.916841259</v>
      </c>
      <c r="F57" s="5">
        <f t="shared" si="4"/>
        <v>6019071.7265036646</v>
      </c>
      <c r="G57" s="5">
        <f>C57*Ingresos!$E$2</f>
        <v>3600000</v>
      </c>
      <c r="H57" s="5"/>
      <c r="I57" s="5"/>
      <c r="J57" s="5"/>
      <c r="U57" s="95"/>
      <c r="Y57" s="214">
        <v>4000</v>
      </c>
      <c r="Z57" s="400">
        <f>Costos!$AQ$85</f>
        <v>4338925.9617874054</v>
      </c>
      <c r="AA57" s="5">
        <f>Y57*Costos!$AL$102</f>
        <v>1738710.916841259</v>
      </c>
      <c r="AB57" s="400">
        <f t="shared" si="5"/>
        <v>6077636.8786286647</v>
      </c>
      <c r="AC57" s="5">
        <f>Y57*Ingresos!$E$2</f>
        <v>3600000</v>
      </c>
      <c r="AD57" s="5"/>
      <c r="AE57" s="5"/>
      <c r="AF57" s="5"/>
      <c r="AQ57" s="95"/>
    </row>
    <row r="58" spans="1:43" x14ac:dyDescent="0.25">
      <c r="C58" s="214">
        <v>5000</v>
      </c>
      <c r="D58" s="5">
        <f>Costos!$P$85</f>
        <v>4280360.8096624054</v>
      </c>
      <c r="E58" s="5">
        <f>C58*Costos!$L$102</f>
        <v>2173388.6460515736</v>
      </c>
      <c r="F58" s="5">
        <f t="shared" si="4"/>
        <v>6453749.455713979</v>
      </c>
      <c r="G58" s="5">
        <f>C58*Ingresos!$E$2</f>
        <v>4500000</v>
      </c>
      <c r="H58" s="5"/>
      <c r="I58" s="5"/>
      <c r="J58" s="5"/>
      <c r="U58" s="95"/>
      <c r="Y58" s="214">
        <v>5000</v>
      </c>
      <c r="Z58" s="400">
        <f>Costos!$AQ$85</f>
        <v>4338925.9617874054</v>
      </c>
      <c r="AA58" s="5">
        <f>Y58*Costos!$AL$102</f>
        <v>2173388.6460515736</v>
      </c>
      <c r="AB58" s="400">
        <f t="shared" si="5"/>
        <v>6512314.607838979</v>
      </c>
      <c r="AC58" s="5">
        <f>Y58*Ingresos!$E$2</f>
        <v>4500000</v>
      </c>
      <c r="AD58" s="5"/>
      <c r="AE58" s="5"/>
      <c r="AF58" s="5"/>
      <c r="AQ58" s="95"/>
    </row>
    <row r="59" spans="1:43" x14ac:dyDescent="0.25">
      <c r="C59" s="214">
        <v>6000</v>
      </c>
      <c r="D59" s="5">
        <f>Costos!$P$85</f>
        <v>4280360.8096624054</v>
      </c>
      <c r="E59" s="5">
        <f>C59*Costos!$L$102</f>
        <v>2608066.3752618884</v>
      </c>
      <c r="F59" s="5">
        <f t="shared" si="4"/>
        <v>6888427.1849242933</v>
      </c>
      <c r="G59" s="5">
        <f>C59*Ingresos!$E$2</f>
        <v>5400000</v>
      </c>
      <c r="H59" s="5"/>
      <c r="I59" s="5"/>
      <c r="J59" s="5"/>
      <c r="U59" s="95"/>
      <c r="Y59" s="214">
        <v>6000</v>
      </c>
      <c r="Z59" s="400">
        <f>Costos!$AQ$85</f>
        <v>4338925.9617874054</v>
      </c>
      <c r="AA59" s="5">
        <f>Y59*Costos!$AL$102</f>
        <v>2608066.3752618884</v>
      </c>
      <c r="AB59" s="400">
        <f t="shared" si="5"/>
        <v>6946992.3370492943</v>
      </c>
      <c r="AC59" s="5">
        <f>Y59*Ingresos!$E$2</f>
        <v>5400000</v>
      </c>
      <c r="AD59" s="5"/>
      <c r="AE59" s="5"/>
      <c r="AF59" s="5"/>
      <c r="AQ59" s="95"/>
    </row>
    <row r="60" spans="1:43" x14ac:dyDescent="0.25">
      <c r="C60" s="214">
        <v>7000</v>
      </c>
      <c r="D60" s="5">
        <f>Costos!$P$85</f>
        <v>4280360.8096624054</v>
      </c>
      <c r="E60" s="5">
        <f>C60*Costos!$L$102</f>
        <v>3042744.1044722032</v>
      </c>
      <c r="F60" s="5">
        <f t="shared" si="4"/>
        <v>7323104.9141346086</v>
      </c>
      <c r="G60" s="5">
        <f>C60*Ingresos!$E$2</f>
        <v>6300000</v>
      </c>
      <c r="H60" s="5"/>
      <c r="I60" s="5"/>
      <c r="J60" s="5"/>
      <c r="U60" s="95"/>
      <c r="Y60" s="214">
        <v>7000</v>
      </c>
      <c r="Z60" s="400">
        <f>Costos!$AQ$85</f>
        <v>4338925.9617874054</v>
      </c>
      <c r="AA60" s="5">
        <f>Y60*Costos!$AL$102</f>
        <v>3042744.1044722032</v>
      </c>
      <c r="AB60" s="400">
        <f t="shared" si="5"/>
        <v>7381670.0662596086</v>
      </c>
      <c r="AC60" s="5">
        <f>Y60*Ingresos!$E$2</f>
        <v>6300000</v>
      </c>
      <c r="AD60" s="5"/>
      <c r="AE60" s="5"/>
      <c r="AF60" s="5"/>
      <c r="AQ60" s="95"/>
    </row>
    <row r="61" spans="1:43" x14ac:dyDescent="0.25">
      <c r="C61" s="214">
        <v>8000</v>
      </c>
      <c r="D61" s="5">
        <f>Costos!$P$85</f>
        <v>4280360.8096624054</v>
      </c>
      <c r="E61" s="5">
        <f>C61*Costos!$L$102</f>
        <v>3477421.833682518</v>
      </c>
      <c r="F61" s="5">
        <f t="shared" si="4"/>
        <v>7757782.6433449239</v>
      </c>
      <c r="G61" s="5">
        <f>C61*Ingresos!$E$2</f>
        <v>7200000</v>
      </c>
      <c r="H61" s="5"/>
      <c r="I61" s="5"/>
      <c r="J61" s="5"/>
      <c r="U61" s="95"/>
      <c r="Y61" s="214">
        <v>8000</v>
      </c>
      <c r="Z61" s="400">
        <f>Costos!$AQ$85</f>
        <v>4338925.9617874054</v>
      </c>
      <c r="AA61" s="5">
        <f>Y61*Costos!$AL$102</f>
        <v>3477421.833682518</v>
      </c>
      <c r="AB61" s="400">
        <f t="shared" si="5"/>
        <v>7816347.7954699229</v>
      </c>
      <c r="AC61" s="5">
        <f>Y61*Ingresos!$E$2</f>
        <v>7200000</v>
      </c>
      <c r="AD61" s="5"/>
      <c r="AE61" s="5"/>
      <c r="AF61" s="5"/>
      <c r="AQ61" s="95"/>
    </row>
    <row r="62" spans="1:43" x14ac:dyDescent="0.25">
      <c r="C62" s="214">
        <v>9000</v>
      </c>
      <c r="D62" s="5">
        <f>Costos!$P$85</f>
        <v>4280360.8096624054</v>
      </c>
      <c r="E62" s="5">
        <f>C62*Costos!$L$102</f>
        <v>3912099.5628928328</v>
      </c>
      <c r="F62" s="5">
        <f t="shared" si="4"/>
        <v>8192460.3725552382</v>
      </c>
      <c r="G62" s="5">
        <f>C62*Ingresos!$E$2</f>
        <v>8100000</v>
      </c>
      <c r="H62" s="5"/>
      <c r="I62" s="5"/>
      <c r="J62" s="5"/>
      <c r="U62" s="95"/>
      <c r="Y62" s="214">
        <v>9000</v>
      </c>
      <c r="Z62" s="400">
        <f>Costos!$AQ$85</f>
        <v>4338925.9617874054</v>
      </c>
      <c r="AA62" s="5">
        <f>Y62*Costos!$AL$102</f>
        <v>3912099.5628928328</v>
      </c>
      <c r="AB62" s="400">
        <f t="shared" si="5"/>
        <v>8251025.5246802382</v>
      </c>
      <c r="AC62" s="5">
        <f>Y62*Ingresos!$E$2</f>
        <v>8100000</v>
      </c>
      <c r="AD62" s="5"/>
      <c r="AE62" s="5"/>
      <c r="AF62" s="5"/>
      <c r="AQ62" s="95"/>
    </row>
    <row r="63" spans="1:43" x14ac:dyDescent="0.25">
      <c r="C63" s="214">
        <v>10000</v>
      </c>
      <c r="D63" s="5">
        <f>Costos!$P$85</f>
        <v>4280360.8096624054</v>
      </c>
      <c r="E63" s="5">
        <f>C63*Costos!$L$102</f>
        <v>4346777.2921031471</v>
      </c>
      <c r="F63" s="5">
        <f t="shared" si="4"/>
        <v>8627138.1017655525</v>
      </c>
      <c r="G63" s="5">
        <f>C63*Ingresos!$E$2</f>
        <v>9000000</v>
      </c>
      <c r="H63" s="5"/>
      <c r="I63" s="5"/>
      <c r="J63" s="5"/>
      <c r="U63" s="95"/>
      <c r="Y63" s="214">
        <v>10000</v>
      </c>
      <c r="Z63" s="400">
        <f>Costos!$AQ$85</f>
        <v>4338925.9617874054</v>
      </c>
      <c r="AA63" s="5">
        <f>Y63*Costos!$AL$102</f>
        <v>4346777.2921031471</v>
      </c>
      <c r="AB63" s="400">
        <f t="shared" si="5"/>
        <v>8685703.2538905516</v>
      </c>
      <c r="AC63" s="5">
        <f>Y63*Ingresos!$E$2</f>
        <v>9000000</v>
      </c>
      <c r="AD63" s="5"/>
      <c r="AE63" s="5"/>
      <c r="AF63" s="5"/>
      <c r="AQ63" s="95"/>
    </row>
    <row r="64" spans="1:43" x14ac:dyDescent="0.25">
      <c r="C64" s="214">
        <v>11000</v>
      </c>
      <c r="D64" s="5">
        <f>Costos!$P$85</f>
        <v>4280360.8096624054</v>
      </c>
      <c r="E64" s="5">
        <f>C64*Costos!$L$102</f>
        <v>4781455.0213134624</v>
      </c>
      <c r="F64" s="5">
        <f t="shared" si="4"/>
        <v>9061815.8309758678</v>
      </c>
      <c r="G64" s="5">
        <f>C64*Ingresos!$E$2</f>
        <v>9900000</v>
      </c>
      <c r="H64" s="7"/>
      <c r="I64" s="7"/>
      <c r="J64" s="7"/>
      <c r="U64" s="95"/>
      <c r="Y64" s="214">
        <v>11000</v>
      </c>
      <c r="Z64" s="400">
        <f>Costos!$AQ$85</f>
        <v>4338925.9617874054</v>
      </c>
      <c r="AA64" s="5">
        <f>Y64*Costos!$AL$102</f>
        <v>4781455.0213134624</v>
      </c>
      <c r="AB64" s="400">
        <f t="shared" si="5"/>
        <v>9120380.9831008688</v>
      </c>
      <c r="AC64" s="5">
        <f>Y64*Ingresos!$E$2</f>
        <v>9900000</v>
      </c>
      <c r="AD64" s="7"/>
      <c r="AE64" s="7"/>
      <c r="AF64" s="7"/>
      <c r="AQ64" s="95"/>
    </row>
    <row r="65" spans="3:43" x14ac:dyDescent="0.25">
      <c r="C65" s="214">
        <v>12000</v>
      </c>
      <c r="D65" s="5">
        <f>Costos!$P$85</f>
        <v>4280360.8096624054</v>
      </c>
      <c r="E65" s="5">
        <f>C65*Costos!$L$102</f>
        <v>5216132.7505237767</v>
      </c>
      <c r="F65" s="5">
        <f t="shared" si="4"/>
        <v>9496493.5601861812</v>
      </c>
      <c r="G65" s="5">
        <f>C65*Ingresos!$E$2</f>
        <v>10800000</v>
      </c>
      <c r="H65" s="7"/>
      <c r="I65" s="7"/>
      <c r="J65" s="7"/>
      <c r="U65" s="95"/>
      <c r="Y65" s="214">
        <v>12000</v>
      </c>
      <c r="Z65" s="400">
        <f>Costos!$AQ$85</f>
        <v>4338925.9617874054</v>
      </c>
      <c r="AA65" s="5">
        <f>Y65*Costos!$AL$102</f>
        <v>5216132.7505237767</v>
      </c>
      <c r="AB65" s="400">
        <f t="shared" si="5"/>
        <v>9555058.7123111822</v>
      </c>
      <c r="AC65" s="5">
        <f>Y65*Ingresos!$E$2</f>
        <v>10800000</v>
      </c>
      <c r="AD65" s="7"/>
      <c r="AE65" s="7"/>
      <c r="AF65" s="7"/>
      <c r="AQ65" s="95"/>
    </row>
    <row r="66" spans="3:43" x14ac:dyDescent="0.25">
      <c r="C66" s="214">
        <v>13000</v>
      </c>
      <c r="D66" s="5">
        <f>Costos!$P$85</f>
        <v>4280360.8096624054</v>
      </c>
      <c r="E66" s="5">
        <f>C66*Costos!$L$102</f>
        <v>5650810.479734092</v>
      </c>
      <c r="F66" s="5">
        <f t="shared" si="4"/>
        <v>9931171.2893964984</v>
      </c>
      <c r="G66" s="5">
        <f>C66*Ingresos!$E$2</f>
        <v>11700000</v>
      </c>
      <c r="H66" s="7"/>
      <c r="I66" s="7"/>
      <c r="J66" s="7"/>
      <c r="U66" s="95"/>
      <c r="Y66" s="214">
        <v>13000</v>
      </c>
      <c r="Z66" s="400">
        <f>Costos!$AQ$85</f>
        <v>4338925.9617874054</v>
      </c>
      <c r="AA66" s="5">
        <f>Y66*Costos!$AL$102</f>
        <v>5650810.479734092</v>
      </c>
      <c r="AB66" s="400">
        <f t="shared" si="5"/>
        <v>9989736.4415214974</v>
      </c>
      <c r="AC66" s="5">
        <f>Y66*Ingresos!$E$2</f>
        <v>11700000</v>
      </c>
      <c r="AD66" s="7"/>
      <c r="AE66" s="7"/>
      <c r="AF66" s="7"/>
      <c r="AQ66" s="95"/>
    </row>
    <row r="67" spans="3:43" x14ac:dyDescent="0.25">
      <c r="C67" s="214">
        <v>14000</v>
      </c>
      <c r="D67" s="5">
        <f>Costos!$P$85</f>
        <v>4280360.8096624054</v>
      </c>
      <c r="E67" s="5">
        <f>C67*Costos!$L$102</f>
        <v>6085488.2089444064</v>
      </c>
      <c r="F67" s="5">
        <f t="shared" si="4"/>
        <v>10365849.018606812</v>
      </c>
      <c r="G67" s="5">
        <f>C67*Ingresos!$E$2</f>
        <v>12600000</v>
      </c>
      <c r="H67" s="7"/>
      <c r="I67" s="7"/>
      <c r="J67" s="7"/>
      <c r="U67" s="95"/>
      <c r="Y67" s="214">
        <v>14000</v>
      </c>
      <c r="Z67" s="400">
        <f>Costos!$AQ$85</f>
        <v>4338925.9617874054</v>
      </c>
      <c r="AA67" s="5">
        <f>Y67*Costos!$AL$102</f>
        <v>6085488.2089444064</v>
      </c>
      <c r="AB67" s="400">
        <f t="shared" si="5"/>
        <v>10424414.170731813</v>
      </c>
      <c r="AC67" s="5">
        <f>Y67*Ingresos!$E$2</f>
        <v>12600000</v>
      </c>
      <c r="AD67" s="7"/>
      <c r="AE67" s="7"/>
      <c r="AF67" s="7"/>
      <c r="AQ67" s="95"/>
    </row>
    <row r="68" spans="3:43" x14ac:dyDescent="0.25">
      <c r="C68" s="214">
        <v>15000</v>
      </c>
      <c r="D68" s="5">
        <f>Costos!$P$85</f>
        <v>4280360.8096624054</v>
      </c>
      <c r="E68" s="5">
        <f>C68*Costos!$L$102</f>
        <v>6520165.9381547207</v>
      </c>
      <c r="F68" s="5">
        <f t="shared" si="4"/>
        <v>10800526.747817125</v>
      </c>
      <c r="G68" s="5">
        <f>C68*Ingresos!$E$2</f>
        <v>13500000</v>
      </c>
      <c r="H68" s="7"/>
      <c r="I68" s="7"/>
      <c r="J68" s="7"/>
      <c r="U68" s="95"/>
      <c r="Y68" s="214">
        <v>15000</v>
      </c>
      <c r="Z68" s="400">
        <f>Costos!$AQ$85</f>
        <v>4338925.9617874054</v>
      </c>
      <c r="AA68" s="5">
        <f>Y68*Costos!$AL$102</f>
        <v>6520165.9381547207</v>
      </c>
      <c r="AB68" s="400">
        <f t="shared" si="5"/>
        <v>10859091.899942126</v>
      </c>
      <c r="AC68" s="5">
        <f>Y68*Ingresos!$E$2</f>
        <v>13500000</v>
      </c>
      <c r="AD68" s="7"/>
      <c r="AE68" s="7"/>
      <c r="AF68" s="7"/>
      <c r="AQ68" s="95"/>
    </row>
    <row r="69" spans="3:43" x14ac:dyDescent="0.25">
      <c r="C69" s="1"/>
      <c r="D69" s="7"/>
      <c r="E69" s="7"/>
      <c r="F69" s="7"/>
      <c r="G69" s="7"/>
      <c r="H69" s="7"/>
      <c r="I69" s="7"/>
      <c r="J69" s="7"/>
      <c r="U69" s="95"/>
      <c r="Y69" s="1"/>
      <c r="Z69" s="7"/>
      <c r="AA69" s="7"/>
      <c r="AB69" s="7"/>
      <c r="AC69" s="7"/>
      <c r="AD69" s="7"/>
      <c r="AE69" s="7"/>
      <c r="AF69" s="7"/>
      <c r="AQ69" s="95"/>
    </row>
    <row r="70" spans="3:43" x14ac:dyDescent="0.25">
      <c r="C70" s="3" t="s">
        <v>512</v>
      </c>
      <c r="D70" s="87">
        <f>D53/(Ingresos!E2-Costos!L102)</f>
        <v>9198.701799504086</v>
      </c>
      <c r="E70" s="3" t="s">
        <v>480</v>
      </c>
      <c r="U70" s="95"/>
      <c r="Y70" s="3" t="s">
        <v>512</v>
      </c>
      <c r="Z70" s="87">
        <f>Z53/(Ingresos!E2-Costos!AL102)</f>
        <v>9324.5611357133985</v>
      </c>
      <c r="AA70" s="3" t="s">
        <v>480</v>
      </c>
      <c r="AQ70" s="95"/>
    </row>
    <row r="71" spans="3:43" x14ac:dyDescent="0.25">
      <c r="C71" s="3" t="s">
        <v>515</v>
      </c>
      <c r="D71" s="87">
        <f>Ingresos!D18</f>
        <v>11000</v>
      </c>
      <c r="E71" s="3" t="s">
        <v>480</v>
      </c>
      <c r="F71" s="4" t="str">
        <f>IF(D71&lt;D70,"UTILIDADES NEGATIVAS","UTILIDADES POSITIVAS")</f>
        <v>UTILIDADES POSITIVAS</v>
      </c>
      <c r="U71" s="95"/>
      <c r="Y71" s="3" t="s">
        <v>515</v>
      </c>
      <c r="Z71" s="87">
        <f>Ingresos!D18</f>
        <v>11000</v>
      </c>
      <c r="AA71" s="3" t="s">
        <v>480</v>
      </c>
      <c r="AB71" s="4" t="str">
        <f>IF(Z71&lt;Z70,"UTILIDADES NEGATIVAS","UTILIDADES POSITIVAS")</f>
        <v>UTILIDADES POSITIVAS</v>
      </c>
      <c r="AQ71" s="95"/>
    </row>
    <row r="72" spans="3:43" s="61" customFormat="1" ht="15.75" thickBot="1" x14ac:dyDescent="0.3">
      <c r="U72" s="99"/>
      <c r="AQ72" s="99"/>
    </row>
  </sheetData>
  <pageMargins left="0.7" right="0.7" top="0.75" bottom="0.75" header="0.3" footer="0.3"/>
  <pageSetup orientation="portrait" horizontalDpi="30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A36D5-3823-4F7B-8F84-A528F81AB2A3}">
  <dimension ref="A2:M50"/>
  <sheetViews>
    <sheetView topLeftCell="A22" workbookViewId="0">
      <selection activeCell="J31" sqref="J31:J40"/>
    </sheetView>
  </sheetViews>
  <sheetFormatPr baseColWidth="10" defaultRowHeight="15" x14ac:dyDescent="0.25"/>
  <cols>
    <col min="3" max="3" width="14.28515625" customWidth="1"/>
    <col min="4" max="5" width="13" customWidth="1"/>
  </cols>
  <sheetData>
    <row r="2" spans="1:12" x14ac:dyDescent="0.25">
      <c r="A2" s="56" t="s">
        <v>472</v>
      </c>
      <c r="B2" s="56"/>
    </row>
    <row r="3" spans="1:12" ht="15.75" thickBot="1" x14ac:dyDescent="0.3"/>
    <row r="4" spans="1:12" s="6" customFormat="1" ht="45.75" thickBot="1" x14ac:dyDescent="0.3">
      <c r="B4" s="51" t="s">
        <v>415</v>
      </c>
      <c r="C4" s="52" t="s">
        <v>483</v>
      </c>
      <c r="D4" s="52" t="s">
        <v>484</v>
      </c>
      <c r="E4" s="52" t="s">
        <v>499</v>
      </c>
      <c r="F4" s="52" t="s">
        <v>485</v>
      </c>
      <c r="G4" s="52" t="s">
        <v>487</v>
      </c>
      <c r="H4" s="52" t="s">
        <v>488</v>
      </c>
      <c r="I4" s="52" t="s">
        <v>489</v>
      </c>
      <c r="J4" s="52" t="s">
        <v>490</v>
      </c>
      <c r="K4" s="52" t="s">
        <v>492</v>
      </c>
      <c r="L4" s="101" t="s">
        <v>496</v>
      </c>
    </row>
    <row r="5" spans="1:12" x14ac:dyDescent="0.25">
      <c r="B5" s="36">
        <v>0</v>
      </c>
      <c r="C5" s="171">
        <f>Ingresos!P8</f>
        <v>0</v>
      </c>
      <c r="D5" s="171">
        <f>Amort!AW6</f>
        <v>16966681.903528612</v>
      </c>
      <c r="E5" s="171">
        <f>D5/(1+General!$D$5)^FF!B5</f>
        <v>16966681.903528612</v>
      </c>
      <c r="F5" s="171">
        <f>Costos!G58-Amort!AX6</f>
        <v>11185.198972</v>
      </c>
      <c r="G5" s="171">
        <f>C5-D5-F5</f>
        <v>-16977867.102500614</v>
      </c>
      <c r="H5" s="171">
        <f>'A Económico'!F5</f>
        <v>0</v>
      </c>
      <c r="I5" s="171">
        <f>G5-H5</f>
        <v>-16977867.102500614</v>
      </c>
      <c r="J5" s="171">
        <f>SUM($I$5:I5)</f>
        <v>-16977867.102500614</v>
      </c>
      <c r="K5" s="171">
        <f>I5/(1+General!$D$5)^B5</f>
        <v>-16977867.102500614</v>
      </c>
      <c r="L5" s="100"/>
    </row>
    <row r="6" spans="1:12" x14ac:dyDescent="0.25">
      <c r="B6" s="35">
        <v>1</v>
      </c>
      <c r="C6" s="5">
        <f>Ingresos!P9</f>
        <v>9000000</v>
      </c>
      <c r="D6" s="5">
        <f>Amort!AW7</f>
        <v>137300.43920000002</v>
      </c>
      <c r="E6" s="5">
        <f>D6/(1+General!$D$5)^FF!B6</f>
        <v>124818.58109090909</v>
      </c>
      <c r="F6" s="5">
        <f>Costos!G59-Amort!AX7</f>
        <v>5595228.6568264607</v>
      </c>
      <c r="G6" s="5">
        <f t="shared" ref="G6:G15" si="0">C6-D6-F6</f>
        <v>3267470.9039735384</v>
      </c>
      <c r="H6" s="5">
        <f>'A Económico'!F6</f>
        <v>412414.80406790809</v>
      </c>
      <c r="I6" s="5">
        <f t="shared" ref="I6:I14" si="1">G6-H6</f>
        <v>2855056.0999056306</v>
      </c>
      <c r="J6" s="5">
        <f>SUM($I$5:I6)</f>
        <v>-14122811.002594983</v>
      </c>
      <c r="K6" s="5">
        <f>I6/(1+General!$D$5)^B6</f>
        <v>2595505.5453687548</v>
      </c>
      <c r="L6" s="215">
        <f t="shared" ref="L6:L15" si="2">IF(J5&lt;0,IF(J6&lt;0,1,J5/(J5-J6)),0)</f>
        <v>1</v>
      </c>
    </row>
    <row r="7" spans="1:12" x14ac:dyDescent="0.25">
      <c r="B7" s="35">
        <v>2</v>
      </c>
      <c r="C7" s="5">
        <f>Ingresos!P10</f>
        <v>10125000</v>
      </c>
      <c r="D7" s="5">
        <f>Amort!AW8</f>
        <v>0</v>
      </c>
      <c r="E7" s="5">
        <f>D7/(1+General!$D$5)^FF!B7</f>
        <v>0</v>
      </c>
      <c r="F7" s="5">
        <f>Costos!G60-Amort!AX8</f>
        <v>5925652.668702703</v>
      </c>
      <c r="G7" s="5">
        <f t="shared" si="0"/>
        <v>4199347.331297297</v>
      </c>
      <c r="H7" s="5">
        <f>'A Económico'!F7</f>
        <v>608770.46044551418</v>
      </c>
      <c r="I7" s="5">
        <f t="shared" si="1"/>
        <v>3590576.8708517831</v>
      </c>
      <c r="J7" s="5">
        <f>SUM($I$5:I7)</f>
        <v>-10532234.1317432</v>
      </c>
      <c r="K7" s="5">
        <f>I7/(1+General!$D$5)^B7</f>
        <v>2967418.901530399</v>
      </c>
      <c r="L7" s="215">
        <f t="shared" si="2"/>
        <v>1</v>
      </c>
    </row>
    <row r="8" spans="1:12" x14ac:dyDescent="0.25">
      <c r="B8" s="35">
        <v>3</v>
      </c>
      <c r="C8" s="5">
        <f>Ingresos!P11</f>
        <v>11250000</v>
      </c>
      <c r="D8" s="5">
        <f>Amort!AW9</f>
        <v>338384.4</v>
      </c>
      <c r="E8" s="5">
        <f>D8/(1+General!$D$5)^FF!B8</f>
        <v>254233.20811419978</v>
      </c>
      <c r="F8" s="5">
        <f>Costos!G61-Amort!AX9</f>
        <v>6203383.8735517431</v>
      </c>
      <c r="G8" s="5">
        <f t="shared" si="0"/>
        <v>4708231.7264482565</v>
      </c>
      <c r="H8" s="5">
        <f>'A Económico'!F8</f>
        <v>820587.65923325415</v>
      </c>
      <c r="I8" s="5">
        <f t="shared" si="1"/>
        <v>3887644.0672150021</v>
      </c>
      <c r="J8" s="5">
        <f>SUM($I$5:I8)</f>
        <v>-6644590.064528198</v>
      </c>
      <c r="K8" s="5">
        <f>I8/(1+General!$D$5)^B8</f>
        <v>2920844.5283358386</v>
      </c>
      <c r="L8" s="215">
        <f t="shared" si="2"/>
        <v>1</v>
      </c>
    </row>
    <row r="9" spans="1:12" x14ac:dyDescent="0.25">
      <c r="B9" s="35">
        <v>4</v>
      </c>
      <c r="C9" s="5">
        <f>Ingresos!P12</f>
        <v>12375000</v>
      </c>
      <c r="D9" s="5">
        <f>Amort!AW10</f>
        <v>236428.43932861101</v>
      </c>
      <c r="E9" s="5">
        <f>D9/(1+General!$D$5)^FF!B9</f>
        <v>161483.80529240554</v>
      </c>
      <c r="F9" s="5">
        <f>Costos!G62-Amort!AX10</f>
        <v>6576507.2784007844</v>
      </c>
      <c r="G9" s="5">
        <f t="shared" si="0"/>
        <v>5562064.2822706047</v>
      </c>
      <c r="H9" s="5">
        <f>'A Económico'!F9</f>
        <v>1002917.0680209936</v>
      </c>
      <c r="I9" s="5">
        <f t="shared" si="1"/>
        <v>4559147.2142496109</v>
      </c>
      <c r="J9" s="5">
        <f>SUM($I$5:I9)</f>
        <v>-2085442.8502785871</v>
      </c>
      <c r="K9" s="5">
        <f>I9/(1+General!$D$5)^B9</f>
        <v>3113958.8923226623</v>
      </c>
      <c r="L9" s="215">
        <f t="shared" si="2"/>
        <v>1</v>
      </c>
    </row>
    <row r="10" spans="1:12" x14ac:dyDescent="0.25">
      <c r="B10" s="35">
        <v>5</v>
      </c>
      <c r="C10" s="5">
        <f>Ingresos!P13</f>
        <v>12375000</v>
      </c>
      <c r="D10" s="5">
        <f>Amort!AW11</f>
        <v>39875</v>
      </c>
      <c r="E10" s="5">
        <f>D10/(1+General!$D$5)^FF!B10</f>
        <v>24759.237756983803</v>
      </c>
      <c r="F10" s="5">
        <f>Costos!G63-Amort!AX11</f>
        <v>6852446.5254397551</v>
      </c>
      <c r="G10" s="5">
        <f t="shared" si="0"/>
        <v>5482678.4745602449</v>
      </c>
      <c r="H10" s="5">
        <f>'A Económico'!F10</f>
        <v>929991.78227244085</v>
      </c>
      <c r="I10" s="5">
        <f t="shared" si="1"/>
        <v>4552686.6922878046</v>
      </c>
      <c r="J10" s="5">
        <f>SUM($I$5:I10)</f>
        <v>2467243.8420092175</v>
      </c>
      <c r="K10" s="5">
        <f>I10/(1+General!$D$5)^B10</f>
        <v>2826860.2444491517</v>
      </c>
      <c r="L10" s="215">
        <f t="shared" si="2"/>
        <v>0.45806860678800976</v>
      </c>
    </row>
    <row r="11" spans="1:12" x14ac:dyDescent="0.25">
      <c r="B11" s="35">
        <v>6</v>
      </c>
      <c r="C11" s="5">
        <f>Ingresos!P14</f>
        <v>12375000</v>
      </c>
      <c r="D11" s="5">
        <f>Amort!AW12</f>
        <v>237300.43920000002</v>
      </c>
      <c r="E11" s="5">
        <f>D11/(1+General!$D$5)^FF!B11</f>
        <v>133949.91151871142</v>
      </c>
      <c r="F11" s="5">
        <f>Costos!G64-Amort!AX12</f>
        <v>7125201.0424494678</v>
      </c>
      <c r="G11" s="5">
        <f t="shared" si="0"/>
        <v>5012498.5183505313</v>
      </c>
      <c r="H11" s="5">
        <f>'A Económico'!F11</f>
        <v>1144138.5696866794</v>
      </c>
      <c r="I11" s="5">
        <f t="shared" si="1"/>
        <v>3868359.9486638522</v>
      </c>
      <c r="J11" s="5">
        <f>SUM($I$5:I11)</f>
        <v>6335603.7906730697</v>
      </c>
      <c r="K11" s="5">
        <f>I11/(1+General!$D$5)^B11</f>
        <v>2183588.3430849123</v>
      </c>
      <c r="L11" s="215">
        <f t="shared" si="2"/>
        <v>0</v>
      </c>
    </row>
    <row r="12" spans="1:12" x14ac:dyDescent="0.25">
      <c r="B12" s="35">
        <v>7</v>
      </c>
      <c r="C12" s="5">
        <f>Ingresos!P15</f>
        <v>12375000</v>
      </c>
      <c r="D12" s="5">
        <f>Amort!AW13</f>
        <v>0</v>
      </c>
      <c r="E12" s="5">
        <f>D12/(1+General!$D$5)^FF!B12</f>
        <v>0</v>
      </c>
      <c r="F12" s="5">
        <f>Costos!G65-Amort!AX13</f>
        <v>7512540.1398471808</v>
      </c>
      <c r="G12" s="5">
        <f t="shared" si="0"/>
        <v>4862459.8601528192</v>
      </c>
      <c r="H12" s="5">
        <f>'A Económico'!F12</f>
        <v>1045015.4546839178</v>
      </c>
      <c r="I12" s="5">
        <f t="shared" si="1"/>
        <v>3817444.4054689016</v>
      </c>
      <c r="J12" s="5">
        <f>SUM($I$5:I12)</f>
        <v>10153048.196141971</v>
      </c>
      <c r="K12" s="5">
        <f>I12/(1+General!$D$5)^B12</f>
        <v>1958952.5875607594</v>
      </c>
      <c r="L12" s="215">
        <f t="shared" si="2"/>
        <v>0</v>
      </c>
    </row>
    <row r="13" spans="1:12" x14ac:dyDescent="0.25">
      <c r="B13" s="35">
        <v>8</v>
      </c>
      <c r="C13" s="5">
        <f>Ingresos!P16</f>
        <v>12375000</v>
      </c>
      <c r="D13" s="5">
        <f>Amort!AW14</f>
        <v>0</v>
      </c>
      <c r="E13" s="5">
        <f>D13/(1+General!$D$5)^FF!B13</f>
        <v>0</v>
      </c>
      <c r="F13" s="5">
        <f>Costos!G66-Amort!AX14</f>
        <v>7801499.3564176932</v>
      </c>
      <c r="G13" s="5">
        <f t="shared" si="0"/>
        <v>4573500.6435823068</v>
      </c>
      <c r="H13" s="5">
        <f>'A Económico'!F13</f>
        <v>972775.65054128971</v>
      </c>
      <c r="I13" s="5">
        <f t="shared" si="1"/>
        <v>3600724.9930410171</v>
      </c>
      <c r="J13" s="5">
        <f>SUM($I$5:I13)</f>
        <v>13753773.189182989</v>
      </c>
      <c r="K13" s="5">
        <f>I13/(1+General!$D$5)^B13</f>
        <v>1679764.7833592745</v>
      </c>
      <c r="L13" s="215">
        <f>IF(J12&lt;0,IF(J13&lt;0,1,J12/(J12-J13)),0)</f>
        <v>0</v>
      </c>
    </row>
    <row r="14" spans="1:12" x14ac:dyDescent="0.25">
      <c r="B14" s="35">
        <v>9</v>
      </c>
      <c r="C14" s="5">
        <f>Ingresos!P17</f>
        <v>12375000</v>
      </c>
      <c r="D14" s="5">
        <f>Amort!AW15</f>
        <v>0</v>
      </c>
      <c r="E14" s="5">
        <f>D14/(1+General!$D$5)^FF!B14</f>
        <v>0</v>
      </c>
      <c r="F14" s="5">
        <f>Costos!G67-Amort!AX15</f>
        <v>8090458.5729882065</v>
      </c>
      <c r="G14" s="5">
        <f t="shared" si="0"/>
        <v>4284541.4270117935</v>
      </c>
      <c r="H14" s="5">
        <f>'A Económico'!F14</f>
        <v>900535.84639866138</v>
      </c>
      <c r="I14" s="5">
        <f t="shared" si="1"/>
        <v>3384005.5806131321</v>
      </c>
      <c r="J14" s="5">
        <f>SUM($I$5:I14)</f>
        <v>17137778.769796122</v>
      </c>
      <c r="K14" s="5">
        <f>I14/(1+General!$D$5)^B14</f>
        <v>1435148.7072972264</v>
      </c>
      <c r="L14" s="215">
        <f t="shared" si="2"/>
        <v>0</v>
      </c>
    </row>
    <row r="15" spans="1:12" ht="15.75" thickBot="1" x14ac:dyDescent="0.3">
      <c r="B15" s="38">
        <v>10</v>
      </c>
      <c r="C15" s="62">
        <f>Ingresos!P18+Amort!AO96</f>
        <v>18055079.875866704</v>
      </c>
      <c r="D15" s="62">
        <f>Amort!AW16</f>
        <v>0</v>
      </c>
      <c r="E15" s="62">
        <f>D15/(1+General!$D$5)^FF!B15</f>
        <v>0</v>
      </c>
      <c r="F15" s="62">
        <f>Costos!G68-Amort!AX16</f>
        <v>8379417.7895587198</v>
      </c>
      <c r="G15" s="62">
        <f t="shared" si="0"/>
        <v>9675662.0863079838</v>
      </c>
      <c r="H15" s="62">
        <f>'A Económico'!F15</f>
        <v>828296.04225603305</v>
      </c>
      <c r="I15" s="62">
        <f>G15-H15</f>
        <v>8847366.0440519508</v>
      </c>
      <c r="J15" s="62">
        <f>SUM($I$5:I15)</f>
        <v>25985144.813848071</v>
      </c>
      <c r="K15" s="62">
        <f>I15/(1+General!$D$5)^B15</f>
        <v>3411042.6074109301</v>
      </c>
      <c r="L15" s="216">
        <f t="shared" si="2"/>
        <v>0</v>
      </c>
    </row>
    <row r="16" spans="1:12" s="4" customFormat="1" ht="15.75" thickBot="1" x14ac:dyDescent="0.3">
      <c r="B16" s="13"/>
      <c r="C16" s="60">
        <f t="shared" ref="C16:H16" si="3">SUM(C5:C15)</f>
        <v>122680079.87586671</v>
      </c>
      <c r="D16" s="60">
        <f t="shared" si="3"/>
        <v>17955970.621257219</v>
      </c>
      <c r="E16" s="60">
        <f>SUM(E5:E15)</f>
        <v>17665926.647301819</v>
      </c>
      <c r="F16" s="60">
        <f t="shared" si="3"/>
        <v>70073521.103154719</v>
      </c>
      <c r="G16" s="60">
        <f t="shared" si="3"/>
        <v>34650588.151454762</v>
      </c>
      <c r="H16" s="60">
        <f t="shared" si="3"/>
        <v>8665443.3376066927</v>
      </c>
      <c r="I16" s="60">
        <f>SUM(I5:I15)</f>
        <v>25985144.813848071</v>
      </c>
      <c r="J16" s="217"/>
      <c r="K16" s="60">
        <f>SUM(K5:K15)</f>
        <v>8115218.0382192954</v>
      </c>
      <c r="L16" s="218">
        <f>SUM(L5:L15)</f>
        <v>4.45806860678801</v>
      </c>
    </row>
    <row r="17" spans="1:13" ht="15.75" thickBot="1" x14ac:dyDescent="0.3"/>
    <row r="18" spans="1:13" x14ac:dyDescent="0.25">
      <c r="B18" s="36"/>
      <c r="C18" s="150" t="s">
        <v>493</v>
      </c>
      <c r="D18" s="219">
        <f>NPV(General!D5,I6:I15)+I5</f>
        <v>8115218.0382192954</v>
      </c>
      <c r="E18" s="220" t="s">
        <v>6</v>
      </c>
    </row>
    <row r="19" spans="1:13" x14ac:dyDescent="0.25">
      <c r="B19" s="35"/>
      <c r="C19" s="3" t="s">
        <v>494</v>
      </c>
      <c r="D19" s="221">
        <f>IRR(I5:I15)</f>
        <v>0.19142493393938853</v>
      </c>
      <c r="E19" s="88"/>
    </row>
    <row r="20" spans="1:13" x14ac:dyDescent="0.25">
      <c r="B20" s="35"/>
      <c r="C20" s="3" t="s">
        <v>501</v>
      </c>
      <c r="D20" s="86">
        <f>L16</f>
        <v>4.45806860678801</v>
      </c>
      <c r="E20" s="222" t="s">
        <v>502</v>
      </c>
    </row>
    <row r="21" spans="1:13" x14ac:dyDescent="0.25">
      <c r="B21" s="35"/>
      <c r="C21" s="3" t="s">
        <v>495</v>
      </c>
      <c r="D21" s="86">
        <f>(I16)/D16</f>
        <v>1.4471590181310219</v>
      </c>
      <c r="E21" s="223"/>
    </row>
    <row r="22" spans="1:13" x14ac:dyDescent="0.25">
      <c r="B22" s="35"/>
      <c r="C22" s="3" t="s">
        <v>594</v>
      </c>
      <c r="D22" s="7">
        <f>MIN(J5:J15)</f>
        <v>-16977867.102500614</v>
      </c>
      <c r="E22" s="223" t="s">
        <v>6</v>
      </c>
    </row>
    <row r="23" spans="1:13" x14ac:dyDescent="0.25">
      <c r="B23" s="35"/>
      <c r="C23" s="224" t="s">
        <v>498</v>
      </c>
      <c r="D23" s="7">
        <f>I16</f>
        <v>25985144.813848071</v>
      </c>
      <c r="E23" s="223" t="s">
        <v>6</v>
      </c>
    </row>
    <row r="24" spans="1:13" ht="15.75" thickBot="1" x14ac:dyDescent="0.3">
      <c r="B24" s="38"/>
      <c r="C24" s="225" t="s">
        <v>500</v>
      </c>
      <c r="D24" s="226">
        <f>K16/E16</f>
        <v>0.45937120651742103</v>
      </c>
      <c r="E24" s="227"/>
    </row>
    <row r="25" spans="1:13" s="61" customFormat="1" ht="15.75" thickBot="1" x14ac:dyDescent="0.3"/>
    <row r="27" spans="1:13" x14ac:dyDescent="0.25">
      <c r="A27" s="56" t="s">
        <v>536</v>
      </c>
      <c r="B27" s="56"/>
    </row>
    <row r="28" spans="1:13" ht="15.75" thickBot="1" x14ac:dyDescent="0.3"/>
    <row r="29" spans="1:13" s="6" customFormat="1" ht="45.75" thickBot="1" x14ac:dyDescent="0.3">
      <c r="B29" s="51" t="s">
        <v>415</v>
      </c>
      <c r="C29" s="52" t="s">
        <v>483</v>
      </c>
      <c r="D29" s="398" t="s">
        <v>484</v>
      </c>
      <c r="E29" s="398" t="s">
        <v>499</v>
      </c>
      <c r="F29" s="398" t="s">
        <v>485</v>
      </c>
      <c r="G29" s="398" t="s">
        <v>544</v>
      </c>
      <c r="H29" s="398" t="s">
        <v>487</v>
      </c>
      <c r="I29" s="398" t="s">
        <v>488</v>
      </c>
      <c r="J29" s="398" t="s">
        <v>489</v>
      </c>
      <c r="K29" s="398" t="s">
        <v>490</v>
      </c>
      <c r="L29" s="398" t="s">
        <v>492</v>
      </c>
      <c r="M29" s="418" t="s">
        <v>496</v>
      </c>
    </row>
    <row r="30" spans="1:13" x14ac:dyDescent="0.25">
      <c r="B30" s="36">
        <v>0</v>
      </c>
      <c r="C30" s="171">
        <f>Ingresos!P8</f>
        <v>0</v>
      </c>
      <c r="D30" s="399">
        <f>Amort!AW107-Préstamo!E4</f>
        <v>7283910.085528614</v>
      </c>
      <c r="E30" s="399">
        <f>D30/(1+General!$D$5)^FF!B30</f>
        <v>7283910.085528614</v>
      </c>
      <c r="F30" s="399">
        <f>Costos!AG58-Amort!AX107</f>
        <v>11185.198972</v>
      </c>
      <c r="G30" s="399">
        <f>Préstamo!D11</f>
        <v>0</v>
      </c>
      <c r="H30" s="399">
        <f>C30-D30-F30-G30</f>
        <v>-7295095.2845006138</v>
      </c>
      <c r="I30" s="399">
        <f>'A Económico'!F23</f>
        <v>0</v>
      </c>
      <c r="J30" s="399">
        <f>H30-I30</f>
        <v>-7295095.2845006138</v>
      </c>
      <c r="K30" s="399">
        <f>SUM($J$30:J30)</f>
        <v>-7295095.2845006138</v>
      </c>
      <c r="L30" s="399">
        <f>J30/(1+General!$D$5)^B30</f>
        <v>-7295095.2845006138</v>
      </c>
      <c r="M30" s="441"/>
    </row>
    <row r="31" spans="1:13" x14ac:dyDescent="0.25">
      <c r="B31" s="35">
        <v>1</v>
      </c>
      <c r="C31" s="5">
        <f>Ingresos!P9</f>
        <v>9000000</v>
      </c>
      <c r="D31" s="400">
        <f>Amort!AW108</f>
        <v>137300.43920000002</v>
      </c>
      <c r="E31" s="400">
        <f>D31/(1+General!$D$5)^FF!B31</f>
        <v>124818.58109090909</v>
      </c>
      <c r="F31" s="400">
        <f>Costos!AG59-Amort!AX108</f>
        <v>6074682.0355564598</v>
      </c>
      <c r="G31" s="400">
        <f>Préstamo!D12</f>
        <v>0</v>
      </c>
      <c r="H31" s="400">
        <f t="shared" ref="H31:H40" si="4">C31-D31-F31-G31</f>
        <v>2788017.5252435394</v>
      </c>
      <c r="I31" s="400">
        <f>'A Económico'!F24</f>
        <v>256110.92028540815</v>
      </c>
      <c r="J31" s="400">
        <f t="shared" ref="J31:J39" si="5">H31-I31</f>
        <v>2531906.604958131</v>
      </c>
      <c r="K31" s="400">
        <f>SUM($J$30:J31)</f>
        <v>-4763188.6795424828</v>
      </c>
      <c r="L31" s="400">
        <f>J31/(1+General!$D$5)^B31</f>
        <v>2301733.2772346642</v>
      </c>
      <c r="M31" s="442">
        <f t="shared" ref="M31:M37" si="6">IF(K30&lt;0,IF(K31&lt;0,1,K30/(K30-K31)),0)</f>
        <v>1</v>
      </c>
    </row>
    <row r="32" spans="1:13" x14ac:dyDescent="0.25">
      <c r="B32" s="35">
        <v>2</v>
      </c>
      <c r="C32" s="5">
        <f>Ingresos!P10</f>
        <v>10125000</v>
      </c>
      <c r="D32" s="400">
        <f>Amort!AW109</f>
        <v>0</v>
      </c>
      <c r="E32" s="400">
        <f>D32/(1+General!$D$5)^FF!B32</f>
        <v>0</v>
      </c>
      <c r="F32" s="400">
        <f>Costos!AG60-Amort!AX109</f>
        <v>6402919.6150867017</v>
      </c>
      <c r="G32" s="400">
        <f>Préstamo!D13</f>
        <v>0</v>
      </c>
      <c r="H32" s="400">
        <f t="shared" si="4"/>
        <v>3722080.3849132983</v>
      </c>
      <c r="I32" s="400">
        <f>'A Económico'!F25</f>
        <v>453013.18474951433</v>
      </c>
      <c r="J32" s="400">
        <f t="shared" si="5"/>
        <v>3269067.200163784</v>
      </c>
      <c r="K32" s="400">
        <f>SUM($J$30:J32)</f>
        <v>-1494121.4793786989</v>
      </c>
      <c r="L32" s="400">
        <f>J32/(1+General!$D$5)^B32</f>
        <v>2701708.4298874242</v>
      </c>
      <c r="M32" s="442">
        <f t="shared" si="6"/>
        <v>1</v>
      </c>
    </row>
    <row r="33" spans="2:13" x14ac:dyDescent="0.25">
      <c r="B33" s="35">
        <v>3</v>
      </c>
      <c r="C33" s="5">
        <f>Ingresos!P11</f>
        <v>11250000</v>
      </c>
      <c r="D33" s="400">
        <f>Amort!AW110</f>
        <v>338384.4</v>
      </c>
      <c r="E33" s="400">
        <f>D33/(1+General!$D$5)^FF!B33</f>
        <v>254233.20811419978</v>
      </c>
      <c r="F33" s="400">
        <f>Costos!AG61-Amort!AX110</f>
        <v>6678464.3875897443</v>
      </c>
      <c r="G33" s="400">
        <f>Préstamo!D14</f>
        <v>1301447.825</v>
      </c>
      <c r="H33" s="400">
        <f t="shared" si="4"/>
        <v>2931703.3874102551</v>
      </c>
      <c r="I33" s="400">
        <f>'A Económico'!F26</f>
        <v>665376.99162375368</v>
      </c>
      <c r="J33" s="400">
        <f t="shared" si="5"/>
        <v>2266326.3957865015</v>
      </c>
      <c r="K33" s="400">
        <f>SUM($J$30:J33)</f>
        <v>772204.91640780261</v>
      </c>
      <c r="L33" s="400">
        <f>J33/(1+General!$D$5)^B33</f>
        <v>1702724.5648283251</v>
      </c>
      <c r="M33" s="442">
        <f t="shared" si="6"/>
        <v>0.65927021022061649</v>
      </c>
    </row>
    <row r="34" spans="2:13" x14ac:dyDescent="0.25">
      <c r="B34" s="35">
        <v>4</v>
      </c>
      <c r="C34" s="5">
        <f>Ingresos!P12</f>
        <v>12375000</v>
      </c>
      <c r="D34" s="400">
        <f>Amort!AW111</f>
        <v>236428.43932861101</v>
      </c>
      <c r="E34" s="400">
        <f>D34/(1+General!$D$5)^FF!B34</f>
        <v>161483.80529240554</v>
      </c>
      <c r="F34" s="400">
        <f>Costos!AG62-Amort!AX111</f>
        <v>6990836.2079677861</v>
      </c>
      <c r="G34" s="400">
        <f>Préstamo!D15</f>
        <v>1301447.825</v>
      </c>
      <c r="H34" s="400">
        <f t="shared" si="4"/>
        <v>3846287.5277036028</v>
      </c>
      <c r="I34" s="400">
        <f>'A Económico'!F27</f>
        <v>862894.29652924323</v>
      </c>
      <c r="J34" s="400">
        <f t="shared" si="5"/>
        <v>2983393.2311743596</v>
      </c>
      <c r="K34" s="400">
        <f>SUM($J$30:J34)</f>
        <v>3755598.1475821622</v>
      </c>
      <c r="L34" s="400">
        <f>J34/(1+General!$D$5)^B34</f>
        <v>2037697.719537162</v>
      </c>
      <c r="M34" s="442">
        <f t="shared" si="6"/>
        <v>0</v>
      </c>
    </row>
    <row r="35" spans="2:13" x14ac:dyDescent="0.25">
      <c r="B35" s="35">
        <v>5</v>
      </c>
      <c r="C35" s="5">
        <f>Ingresos!P13</f>
        <v>12375000</v>
      </c>
      <c r="D35" s="400">
        <f>Amort!AW112</f>
        <v>39875</v>
      </c>
      <c r="E35" s="400">
        <f>D35/(1+General!$D$5)^FF!B35</f>
        <v>24759.237756983803</v>
      </c>
      <c r="F35" s="400">
        <f>Costos!AG63-Amort!AX112</f>
        <v>7206023.8705357555</v>
      </c>
      <c r="G35" s="400">
        <f>Préstamo!D16</f>
        <v>1301447.825</v>
      </c>
      <c r="H35" s="400">
        <f t="shared" si="4"/>
        <v>3827653.3044642443</v>
      </c>
      <c r="I35" s="400">
        <f>'A Económico'!F28</f>
        <v>805156.90689844079</v>
      </c>
      <c r="J35" s="400">
        <f t="shared" si="5"/>
        <v>3022496.3975658035</v>
      </c>
      <c r="K35" s="400">
        <f>SUM($J$30:J35)</f>
        <v>6778094.5451479657</v>
      </c>
      <c r="L35" s="400">
        <f>J35/(1+General!$D$5)^B35</f>
        <v>1876732.4621180883</v>
      </c>
      <c r="M35" s="442">
        <f t="shared" si="6"/>
        <v>0</v>
      </c>
    </row>
    <row r="36" spans="2:13" x14ac:dyDescent="0.25">
      <c r="B36" s="35">
        <v>6</v>
      </c>
      <c r="C36" s="5">
        <f>Ingresos!P14</f>
        <v>12375000</v>
      </c>
      <c r="D36" s="400">
        <f>Amort!AW113</f>
        <v>237300.43920000002</v>
      </c>
      <c r="E36" s="400">
        <f>D36/(1+General!$D$5)^FF!B36</f>
        <v>133949.91151871142</v>
      </c>
      <c r="F36" s="400">
        <f>Costos!AG64-Amort!AX113</f>
        <v>7418026.8030744679</v>
      </c>
      <c r="G36" s="400">
        <f>Préstamo!D17</f>
        <v>1301447.825</v>
      </c>
      <c r="H36" s="400">
        <f>C36-D36-F36-G36</f>
        <v>3418224.932725531</v>
      </c>
      <c r="I36" s="400">
        <f>'A Económico'!F29</f>
        <v>1070932.1295304294</v>
      </c>
      <c r="J36" s="400">
        <f t="shared" si="5"/>
        <v>2347292.8031951017</v>
      </c>
      <c r="K36" s="400">
        <f>SUM($J$30:J36)</f>
        <v>9125387.3483430669</v>
      </c>
      <c r="L36" s="400">
        <f>J36/(1+General!$D$5)^B36</f>
        <v>1324985.5936064865</v>
      </c>
      <c r="M36" s="442">
        <f t="shared" si="6"/>
        <v>0</v>
      </c>
    </row>
    <row r="37" spans="2:13" x14ac:dyDescent="0.25">
      <c r="B37" s="35">
        <v>7</v>
      </c>
      <c r="C37" s="5">
        <f>Ingresos!P15</f>
        <v>12375000</v>
      </c>
      <c r="D37" s="400">
        <f>Amort!AW114</f>
        <v>0</v>
      </c>
      <c r="E37" s="400">
        <f>D37/(1+General!$D$5)^FF!B37</f>
        <v>0</v>
      </c>
      <c r="F37" s="400">
        <f>Costos!AG65-Amort!AX114</f>
        <v>7746800.74834718</v>
      </c>
      <c r="G37" s="400">
        <f>Préstamo!D18</f>
        <v>1301447.825</v>
      </c>
      <c r="H37" s="400">
        <f t="shared" si="4"/>
        <v>3326751.4266528198</v>
      </c>
      <c r="I37" s="400">
        <f>'A Económico'!F30</f>
        <v>986450.30255891802</v>
      </c>
      <c r="J37" s="400">
        <f t="shared" si="5"/>
        <v>2340301.1240939018</v>
      </c>
      <c r="K37" s="400">
        <f>SUM($J$30:J37)</f>
        <v>11465688.472436968</v>
      </c>
      <c r="L37" s="400">
        <f>J37/(1+General!$D$5)^B37</f>
        <v>1200944.5209332337</v>
      </c>
      <c r="M37" s="442">
        <f t="shared" si="6"/>
        <v>0</v>
      </c>
    </row>
    <row r="38" spans="2:13" x14ac:dyDescent="0.25">
      <c r="B38" s="35">
        <v>8</v>
      </c>
      <c r="C38" s="5">
        <f>Ingresos!P16</f>
        <v>12375000</v>
      </c>
      <c r="D38" s="400">
        <f>Amort!AW115</f>
        <v>0</v>
      </c>
      <c r="E38" s="400">
        <f>D38/(1+General!$D$5)^FF!B38</f>
        <v>0</v>
      </c>
      <c r="F38" s="400">
        <f>Costos!AG66-Amort!AX115</f>
        <v>7977194.8127926942</v>
      </c>
      <c r="G38" s="400">
        <f>Préstamo!D19</f>
        <v>1301447.825</v>
      </c>
      <c r="H38" s="400">
        <f t="shared" si="4"/>
        <v>3096357.3622073056</v>
      </c>
      <c r="I38" s="400">
        <f>'A Económico'!F31</f>
        <v>928851.78644753946</v>
      </c>
      <c r="J38" s="400">
        <f t="shared" si="5"/>
        <v>2167505.5757597662</v>
      </c>
      <c r="K38" s="400">
        <f>SUM($J$30:J38)</f>
        <v>13633194.048196735</v>
      </c>
      <c r="L38" s="400">
        <f>J38/(1+General!$D$5)^B38</f>
        <v>1011157.3477376779</v>
      </c>
      <c r="M38" s="442">
        <f>IF(K37&lt;0,IF(K38&lt;0,1,K37/(K37-K38)),0)</f>
        <v>0</v>
      </c>
    </row>
    <row r="39" spans="2:13" x14ac:dyDescent="0.25">
      <c r="B39" s="35">
        <v>9</v>
      </c>
      <c r="C39" s="5">
        <f>Ingresos!P17</f>
        <v>12375000</v>
      </c>
      <c r="D39" s="400">
        <f>Amort!AW116</f>
        <v>0</v>
      </c>
      <c r="E39" s="400">
        <f>D39/(1+General!$D$5)^FF!B39</f>
        <v>0</v>
      </c>
      <c r="F39" s="400">
        <f>Costos!AG67-Amort!AX116</f>
        <v>8207588.8772382066</v>
      </c>
      <c r="G39" s="400">
        <f>Préstamo!D20</f>
        <v>1301447.825</v>
      </c>
      <c r="H39" s="400">
        <f t="shared" si="4"/>
        <v>2865963.2977617932</v>
      </c>
      <c r="I39" s="400">
        <f>'A Económico'!F32</f>
        <v>871253.27033616137</v>
      </c>
      <c r="J39" s="400">
        <f t="shared" si="5"/>
        <v>1994710.0274256319</v>
      </c>
      <c r="K39" s="400">
        <f>SUM($J$30:J39)</f>
        <v>15627904.075622367</v>
      </c>
      <c r="L39" s="400">
        <f>J39/(1+General!$D$5)^B39</f>
        <v>845951.77197492402</v>
      </c>
      <c r="M39" s="442">
        <f t="shared" ref="M39:M40" si="7">IF(K38&lt;0,IF(K39&lt;0,1,K38/(K38-K39)),0)</f>
        <v>0</v>
      </c>
    </row>
    <row r="40" spans="2:13" ht="15.75" thickBot="1" x14ac:dyDescent="0.3">
      <c r="B40" s="38">
        <v>10</v>
      </c>
      <c r="C40" s="62">
        <f>Ingresos!P18+Amort!AO199</f>
        <v>18055079.875866704</v>
      </c>
      <c r="D40" s="401">
        <f>Amort!AW117</f>
        <v>0</v>
      </c>
      <c r="E40" s="401">
        <f>D40/(1+General!$D$5)^FF!B40</f>
        <v>0</v>
      </c>
      <c r="F40" s="401">
        <f>Costos!AG68-Amort!AX117</f>
        <v>8437982.9416837208</v>
      </c>
      <c r="G40" s="401">
        <f>Préstamo!D21</f>
        <v>1301447.825</v>
      </c>
      <c r="H40" s="401">
        <f t="shared" si="4"/>
        <v>8315649.1091829827</v>
      </c>
      <c r="I40" s="401">
        <f>'A Económico'!F33</f>
        <v>813654.75422478281</v>
      </c>
      <c r="J40" s="401">
        <f>H40-I40</f>
        <v>7501994.3549581999</v>
      </c>
      <c r="K40" s="401">
        <f>SUM($J$30:J40)</f>
        <v>23129898.430580568</v>
      </c>
      <c r="L40" s="401">
        <f>J40/(1+General!$D$5)^B40</f>
        <v>2892343.5808923603</v>
      </c>
      <c r="M40" s="443">
        <f t="shared" si="7"/>
        <v>0</v>
      </c>
    </row>
    <row r="41" spans="2:13" s="4" customFormat="1" ht="15.75" thickBot="1" x14ac:dyDescent="0.3">
      <c r="B41" s="13"/>
      <c r="C41" s="60">
        <f t="shared" ref="C41" si="8">SUM(C30:C40)</f>
        <v>122680079.87586671</v>
      </c>
      <c r="D41" s="402">
        <f t="shared" ref="D41" si="9">SUM(D30:D40)</f>
        <v>8273198.8032572251</v>
      </c>
      <c r="E41" s="402">
        <f t="shared" ref="E41" si="10">SUM(E30:E40)</f>
        <v>7983154.8293018229</v>
      </c>
      <c r="F41" s="402">
        <f t="shared" ref="F41:G41" si="11">SUM(F30:F40)</f>
        <v>73151705.498844713</v>
      </c>
      <c r="G41" s="402">
        <f t="shared" si="11"/>
        <v>10411582.6</v>
      </c>
      <c r="H41" s="402">
        <f t="shared" ref="H41" si="12">SUM(H30:H40)</f>
        <v>30843592.973764759</v>
      </c>
      <c r="I41" s="402">
        <f t="shared" ref="I41" si="13">SUM(I30:I40)</f>
        <v>7713694.5431841919</v>
      </c>
      <c r="J41" s="402">
        <f t="shared" ref="J41" si="14">SUM(J30:J40)</f>
        <v>23129898.430580568</v>
      </c>
      <c r="K41" s="444"/>
      <c r="L41" s="402">
        <f>SUM(L30:L40)</f>
        <v>10600883.984249732</v>
      </c>
      <c r="M41" s="445">
        <f>SUM(M30:M40)</f>
        <v>2.6592702102206163</v>
      </c>
    </row>
    <row r="42" spans="2:13" ht="15.75" thickBot="1" x14ac:dyDescent="0.3"/>
    <row r="43" spans="2:13" x14ac:dyDescent="0.25">
      <c r="B43" s="446"/>
      <c r="C43" s="447" t="s">
        <v>493</v>
      </c>
      <c r="D43" s="448">
        <f>NPV(General!$D$5,J31:J40)+J30</f>
        <v>10600883.98424973</v>
      </c>
      <c r="E43" s="449" t="s">
        <v>6</v>
      </c>
    </row>
    <row r="44" spans="2:13" x14ac:dyDescent="0.25">
      <c r="B44" s="403"/>
      <c r="C44" s="450" t="s">
        <v>494</v>
      </c>
      <c r="D44" s="451">
        <f>IRR(J30:J40)</f>
        <v>0.36310335154575113</v>
      </c>
      <c r="E44" s="452"/>
    </row>
    <row r="45" spans="2:13" x14ac:dyDescent="0.25">
      <c r="B45" s="403"/>
      <c r="C45" s="450" t="s">
        <v>501</v>
      </c>
      <c r="D45" s="453">
        <f>M41</f>
        <v>2.6592702102206163</v>
      </c>
      <c r="E45" s="454" t="s">
        <v>502</v>
      </c>
    </row>
    <row r="46" spans="2:13" x14ac:dyDescent="0.25">
      <c r="B46" s="403"/>
      <c r="C46" s="450" t="s">
        <v>495</v>
      </c>
      <c r="D46" s="453">
        <f>(J41)/D41</f>
        <v>2.7957624348969037</v>
      </c>
      <c r="E46" s="455"/>
    </row>
    <row r="47" spans="2:13" x14ac:dyDescent="0.25">
      <c r="B47" s="403"/>
      <c r="C47" s="450" t="s">
        <v>497</v>
      </c>
      <c r="D47" s="417">
        <f>MIN(K30:K40)</f>
        <v>-7295095.2845006138</v>
      </c>
      <c r="E47" s="455" t="s">
        <v>6</v>
      </c>
    </row>
    <row r="48" spans="2:13" x14ac:dyDescent="0.25">
      <c r="B48" s="403"/>
      <c r="C48" s="456" t="s">
        <v>498</v>
      </c>
      <c r="D48" s="417">
        <f>J41</f>
        <v>23129898.430580568</v>
      </c>
      <c r="E48" s="455" t="s">
        <v>6</v>
      </c>
    </row>
    <row r="49" spans="2:5" ht="15.75" thickBot="1" x14ac:dyDescent="0.3">
      <c r="B49" s="404"/>
      <c r="C49" s="457" t="s">
        <v>500</v>
      </c>
      <c r="D49" s="458">
        <f>L41/E41</f>
        <v>1.3279065996991124</v>
      </c>
      <c r="E49" s="459"/>
    </row>
    <row r="50" spans="2:5" s="61" customFormat="1" ht="15.75" thickBot="1" x14ac:dyDescent="0.3"/>
  </sheetData>
  <pageMargins left="0.7" right="0.7" top="0.75" bottom="0.75" header="0.3" footer="0.3"/>
  <pageSetup orientation="portrait" horizontalDpi="30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7F37F-9C00-4BBB-87F4-755E1B3C103B}">
  <dimension ref="B2:G22"/>
  <sheetViews>
    <sheetView topLeftCell="B10" workbookViewId="0">
      <selection activeCell="E5" sqref="E5"/>
    </sheetView>
  </sheetViews>
  <sheetFormatPr baseColWidth="10" defaultRowHeight="15" x14ac:dyDescent="0.25"/>
  <cols>
    <col min="4" max="4" width="13" customWidth="1"/>
  </cols>
  <sheetData>
    <row r="2" spans="2:7" x14ac:dyDescent="0.25">
      <c r="B2" t="s">
        <v>533</v>
      </c>
      <c r="E2" s="163">
        <v>0.6</v>
      </c>
    </row>
    <row r="3" spans="2:7" x14ac:dyDescent="0.25">
      <c r="B3" t="s">
        <v>534</v>
      </c>
      <c r="E3" s="163">
        <v>0.4</v>
      </c>
    </row>
    <row r="4" spans="2:7" x14ac:dyDescent="0.25">
      <c r="B4" t="s">
        <v>524</v>
      </c>
      <c r="E4" s="5">
        <f>E2*('Cuadro Inv'!C35+'Cuadro Inv'!D35)+E3*'Cuadro Inv'!E35</f>
        <v>10411582.6</v>
      </c>
    </row>
    <row r="5" spans="2:7" x14ac:dyDescent="0.25">
      <c r="B5" t="s">
        <v>525</v>
      </c>
      <c r="E5" s="235">
        <v>0.06</v>
      </c>
    </row>
    <row r="6" spans="2:7" x14ac:dyDescent="0.25">
      <c r="B6" t="s">
        <v>526</v>
      </c>
      <c r="E6" s="149">
        <v>2</v>
      </c>
      <c r="F6" t="s">
        <v>535</v>
      </c>
    </row>
    <row r="7" spans="2:7" x14ac:dyDescent="0.25">
      <c r="B7" t="s">
        <v>527</v>
      </c>
      <c r="E7">
        <f>10-E6</f>
        <v>8</v>
      </c>
    </row>
    <row r="8" spans="2:7" x14ac:dyDescent="0.25">
      <c r="B8" t="s">
        <v>539</v>
      </c>
      <c r="E8" s="162">
        <v>0.01</v>
      </c>
    </row>
    <row r="9" spans="2:7" ht="15.75" thickBot="1" x14ac:dyDescent="0.3"/>
    <row r="10" spans="2:7" ht="60.75" thickBot="1" x14ac:dyDescent="0.3">
      <c r="B10" s="51" t="s">
        <v>415</v>
      </c>
      <c r="C10" s="52" t="s">
        <v>528</v>
      </c>
      <c r="D10" s="52" t="s">
        <v>529</v>
      </c>
      <c r="E10" s="52" t="s">
        <v>530</v>
      </c>
      <c r="F10" s="52" t="s">
        <v>531</v>
      </c>
      <c r="G10" s="101" t="s">
        <v>532</v>
      </c>
    </row>
    <row r="11" spans="2:7" x14ac:dyDescent="0.25">
      <c r="B11" s="36">
        <v>0</v>
      </c>
      <c r="C11" s="171">
        <f>E4</f>
        <v>10411582.6</v>
      </c>
      <c r="D11" s="171">
        <f t="shared" ref="D11:D21" si="0">IF(B11&lt;=$E$6,0,$E$4/$E$7)</f>
        <v>0</v>
      </c>
      <c r="E11" s="171">
        <f t="shared" ref="E11:E21" si="1">C11*$E$5</f>
        <v>624694.95600000001</v>
      </c>
      <c r="F11" s="171">
        <f>D11+E11</f>
        <v>624694.95600000001</v>
      </c>
      <c r="G11" s="172">
        <f>C11-D11</f>
        <v>10411582.6</v>
      </c>
    </row>
    <row r="12" spans="2:7" x14ac:dyDescent="0.25">
      <c r="B12" s="35">
        <v>1</v>
      </c>
      <c r="C12" s="5">
        <f>C11-D11</f>
        <v>10411582.6</v>
      </c>
      <c r="D12" s="5">
        <f t="shared" si="0"/>
        <v>0</v>
      </c>
      <c r="E12" s="5">
        <f t="shared" si="1"/>
        <v>624694.95600000001</v>
      </c>
      <c r="F12" s="5">
        <f t="shared" ref="F12:F21" si="2">D12+E12</f>
        <v>624694.95600000001</v>
      </c>
      <c r="G12" s="127">
        <f t="shared" ref="G12:G21" si="3">C12-D12</f>
        <v>10411582.6</v>
      </c>
    </row>
    <row r="13" spans="2:7" x14ac:dyDescent="0.25">
      <c r="B13" s="35">
        <v>2</v>
      </c>
      <c r="C13" s="5">
        <f t="shared" ref="C13:C21" si="4">C12-D12</f>
        <v>10411582.6</v>
      </c>
      <c r="D13" s="5">
        <f t="shared" si="0"/>
        <v>0</v>
      </c>
      <c r="E13" s="5">
        <f t="shared" si="1"/>
        <v>624694.95600000001</v>
      </c>
      <c r="F13" s="5">
        <f t="shared" si="2"/>
        <v>624694.95600000001</v>
      </c>
      <c r="G13" s="127">
        <f t="shared" si="3"/>
        <v>10411582.6</v>
      </c>
    </row>
    <row r="14" spans="2:7" x14ac:dyDescent="0.25">
      <c r="B14" s="35">
        <v>3</v>
      </c>
      <c r="C14" s="5">
        <f t="shared" si="4"/>
        <v>10411582.6</v>
      </c>
      <c r="D14" s="5">
        <f t="shared" si="0"/>
        <v>1301447.825</v>
      </c>
      <c r="E14" s="5">
        <f t="shared" si="1"/>
        <v>624694.95600000001</v>
      </c>
      <c r="F14" s="5">
        <f t="shared" si="2"/>
        <v>1926142.781</v>
      </c>
      <c r="G14" s="127">
        <f t="shared" si="3"/>
        <v>9110134.7750000004</v>
      </c>
    </row>
    <row r="15" spans="2:7" x14ac:dyDescent="0.25">
      <c r="B15" s="35">
        <v>4</v>
      </c>
      <c r="C15" s="5">
        <f t="shared" si="4"/>
        <v>9110134.7750000004</v>
      </c>
      <c r="D15" s="5">
        <f t="shared" si="0"/>
        <v>1301447.825</v>
      </c>
      <c r="E15" s="5">
        <f t="shared" si="1"/>
        <v>546608.08649999998</v>
      </c>
      <c r="F15" s="5">
        <f t="shared" si="2"/>
        <v>1848055.9114999999</v>
      </c>
      <c r="G15" s="127">
        <f t="shared" si="3"/>
        <v>7808686.9500000002</v>
      </c>
    </row>
    <row r="16" spans="2:7" x14ac:dyDescent="0.25">
      <c r="B16" s="35">
        <v>5</v>
      </c>
      <c r="C16" s="5">
        <f t="shared" si="4"/>
        <v>7808686.9500000002</v>
      </c>
      <c r="D16" s="5">
        <f t="shared" si="0"/>
        <v>1301447.825</v>
      </c>
      <c r="E16" s="5">
        <f t="shared" si="1"/>
        <v>468521.217</v>
      </c>
      <c r="F16" s="5">
        <f t="shared" si="2"/>
        <v>1769969.0419999999</v>
      </c>
      <c r="G16" s="127">
        <f t="shared" si="3"/>
        <v>6507239.125</v>
      </c>
    </row>
    <row r="17" spans="2:7" x14ac:dyDescent="0.25">
      <c r="B17" s="35">
        <v>6</v>
      </c>
      <c r="C17" s="5">
        <f t="shared" si="4"/>
        <v>6507239.125</v>
      </c>
      <c r="D17" s="5">
        <f t="shared" si="0"/>
        <v>1301447.825</v>
      </c>
      <c r="E17" s="5">
        <f t="shared" si="1"/>
        <v>390434.34749999997</v>
      </c>
      <c r="F17" s="5">
        <f t="shared" si="2"/>
        <v>1691882.1724999999</v>
      </c>
      <c r="G17" s="127">
        <f t="shared" si="3"/>
        <v>5205791.3</v>
      </c>
    </row>
    <row r="18" spans="2:7" x14ac:dyDescent="0.25">
      <c r="B18" s="35">
        <v>7</v>
      </c>
      <c r="C18" s="5">
        <f t="shared" si="4"/>
        <v>5205791.3</v>
      </c>
      <c r="D18" s="5">
        <f t="shared" si="0"/>
        <v>1301447.825</v>
      </c>
      <c r="E18" s="5">
        <f t="shared" si="1"/>
        <v>312347.478</v>
      </c>
      <c r="F18" s="5">
        <f t="shared" si="2"/>
        <v>1613795.3029999998</v>
      </c>
      <c r="G18" s="127">
        <f t="shared" si="3"/>
        <v>3904343.4749999996</v>
      </c>
    </row>
    <row r="19" spans="2:7" x14ac:dyDescent="0.25">
      <c r="B19" s="35">
        <v>8</v>
      </c>
      <c r="C19" s="5">
        <f t="shared" si="4"/>
        <v>3904343.4749999996</v>
      </c>
      <c r="D19" s="5">
        <f t="shared" si="0"/>
        <v>1301447.825</v>
      </c>
      <c r="E19" s="5">
        <f t="shared" si="1"/>
        <v>234260.60849999997</v>
      </c>
      <c r="F19" s="5">
        <f t="shared" si="2"/>
        <v>1535708.4334999998</v>
      </c>
      <c r="G19" s="127">
        <f t="shared" si="3"/>
        <v>2602895.6499999994</v>
      </c>
    </row>
    <row r="20" spans="2:7" x14ac:dyDescent="0.25">
      <c r="B20" s="35">
        <v>9</v>
      </c>
      <c r="C20" s="5">
        <f t="shared" si="4"/>
        <v>2602895.6499999994</v>
      </c>
      <c r="D20" s="5">
        <f t="shared" si="0"/>
        <v>1301447.825</v>
      </c>
      <c r="E20" s="5">
        <f t="shared" si="1"/>
        <v>156173.73899999997</v>
      </c>
      <c r="F20" s="5">
        <f t="shared" si="2"/>
        <v>1457621.564</v>
      </c>
      <c r="G20" s="127">
        <f t="shared" si="3"/>
        <v>1301447.8249999995</v>
      </c>
    </row>
    <row r="21" spans="2:7" ht="15.75" thickBot="1" x14ac:dyDescent="0.3">
      <c r="B21" s="38">
        <v>10</v>
      </c>
      <c r="C21" s="62">
        <f t="shared" si="4"/>
        <v>1301447.8249999995</v>
      </c>
      <c r="D21" s="62">
        <f t="shared" si="0"/>
        <v>1301447.825</v>
      </c>
      <c r="E21" s="62">
        <f t="shared" si="1"/>
        <v>78086.869499999972</v>
      </c>
      <c r="F21" s="62">
        <f t="shared" si="2"/>
        <v>1379534.6945</v>
      </c>
      <c r="G21" s="130">
        <f t="shared" si="3"/>
        <v>0</v>
      </c>
    </row>
    <row r="22" spans="2:7" ht="15.75" thickBot="1" x14ac:dyDescent="0.3">
      <c r="B22" s="157" t="s">
        <v>169</v>
      </c>
      <c r="C22" s="60"/>
      <c r="D22" s="60">
        <f t="shared" ref="D22:E22" si="5">SUM(D11:D21)</f>
        <v>10411582.6</v>
      </c>
      <c r="E22" s="60">
        <f t="shared" si="5"/>
        <v>4685212.1700000009</v>
      </c>
      <c r="F22" s="60">
        <f>SUM(F11:F21)</f>
        <v>15096794.769999996</v>
      </c>
      <c r="G22" s="114"/>
    </row>
  </sheetData>
  <pageMargins left="0.7" right="0.7" top="0.75" bottom="0.75" header="0.3" footer="0.3"/>
  <pageSetup orientation="portrait" horizontalDpi="30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D46E4-B3CE-4B06-BE2D-3F9F63429943}">
  <dimension ref="A2:Q487"/>
  <sheetViews>
    <sheetView topLeftCell="B403" workbookViewId="0">
      <selection activeCell="D433" sqref="D433:M433"/>
    </sheetView>
  </sheetViews>
  <sheetFormatPr baseColWidth="10" defaultRowHeight="15" x14ac:dyDescent="0.25"/>
  <cols>
    <col min="1" max="1" width="3" customWidth="1"/>
    <col min="2" max="2" width="33.42578125" customWidth="1"/>
    <col min="3" max="3" width="12.140625" customWidth="1"/>
    <col min="4" max="4" width="12.85546875" customWidth="1"/>
    <col min="5" max="5" width="12.7109375" customWidth="1"/>
    <col min="8" max="8" width="11.42578125" customWidth="1"/>
    <col min="9" max="9" width="33.42578125" customWidth="1"/>
    <col min="10" max="10" width="12.85546875" customWidth="1"/>
    <col min="11" max="11" width="12.7109375" customWidth="1"/>
    <col min="12" max="12" width="12.85546875" customWidth="1"/>
  </cols>
  <sheetData>
    <row r="2" spans="1:16" ht="15" customHeight="1" x14ac:dyDescent="0.25">
      <c r="A2" s="506" t="s">
        <v>548</v>
      </c>
      <c r="B2" s="506"/>
      <c r="C2" s="506"/>
      <c r="D2" s="506"/>
      <c r="E2" s="506"/>
      <c r="F2" s="506"/>
      <c r="G2" s="506"/>
      <c r="H2" s="506"/>
      <c r="I2" s="506"/>
      <c r="J2" s="506"/>
      <c r="K2" s="506"/>
      <c r="L2" s="506"/>
      <c r="M2" s="506"/>
      <c r="N2" s="506"/>
      <c r="O2" s="506"/>
      <c r="P2" s="506"/>
    </row>
    <row r="4" spans="1:16" ht="15.75" thickBot="1" x14ac:dyDescent="0.3">
      <c r="B4" s="4" t="s">
        <v>540</v>
      </c>
      <c r="I4" s="4" t="s">
        <v>541</v>
      </c>
    </row>
    <row r="5" spans="1:16" ht="45.75" thickBot="1" x14ac:dyDescent="0.3">
      <c r="B5" s="51" t="s">
        <v>307</v>
      </c>
      <c r="C5" s="51" t="s">
        <v>165</v>
      </c>
      <c r="D5" s="52" t="s">
        <v>166</v>
      </c>
      <c r="E5" s="52" t="s">
        <v>167</v>
      </c>
      <c r="F5" s="101" t="s">
        <v>168</v>
      </c>
      <c r="G5" s="101" t="s">
        <v>169</v>
      </c>
      <c r="I5" s="51" t="s">
        <v>307</v>
      </c>
      <c r="J5" s="51" t="s">
        <v>165</v>
      </c>
      <c r="K5" s="52" t="s">
        <v>166</v>
      </c>
      <c r="L5" s="52" t="s">
        <v>167</v>
      </c>
      <c r="M5" s="52" t="s">
        <v>168</v>
      </c>
      <c r="N5" s="53" t="s">
        <v>169</v>
      </c>
    </row>
    <row r="6" spans="1:16" ht="15.75" thickBot="1" x14ac:dyDescent="0.3">
      <c r="B6" s="106" t="s">
        <v>168</v>
      </c>
      <c r="C6" s="17">
        <f>'Cuadro Inv'!J5</f>
        <v>0</v>
      </c>
      <c r="D6" s="18">
        <f>'Cuadro Inv'!K5</f>
        <v>0</v>
      </c>
      <c r="E6" s="18">
        <f>'Cuadro Inv'!L5</f>
        <v>0</v>
      </c>
      <c r="F6" s="45">
        <f>'Cuadro Inv'!M5</f>
        <v>170</v>
      </c>
      <c r="G6" s="45">
        <f>'Cuadro Inv'!N5</f>
        <v>170</v>
      </c>
      <c r="I6" s="110" t="s">
        <v>168</v>
      </c>
      <c r="J6" s="18">
        <f>'Cuadro Inv'!J85</f>
        <v>0</v>
      </c>
      <c r="K6" s="18">
        <f>'Cuadro Inv'!K85</f>
        <v>0</v>
      </c>
      <c r="L6" s="18">
        <f>'Cuadro Inv'!L85</f>
        <v>0</v>
      </c>
      <c r="M6" s="18">
        <f>'Cuadro Inv'!M85</f>
        <v>170</v>
      </c>
      <c r="N6" s="102">
        <f>'Cuadro Inv'!N85</f>
        <v>170</v>
      </c>
    </row>
    <row r="7" spans="1:16" x14ac:dyDescent="0.25">
      <c r="B7" s="107" t="s">
        <v>170</v>
      </c>
      <c r="C7" s="22">
        <f>'Cuadro Inv'!J6</f>
        <v>400</v>
      </c>
      <c r="D7" s="24">
        <f>'Cuadro Inv'!K6</f>
        <v>0</v>
      </c>
      <c r="E7" s="24">
        <f>'Cuadro Inv'!L6</f>
        <v>0</v>
      </c>
      <c r="F7" s="91">
        <f>'Cuadro Inv'!M6</f>
        <v>0</v>
      </c>
      <c r="G7" s="510">
        <f>SUM(C7:F19)</f>
        <v>10825.971</v>
      </c>
      <c r="I7" s="111" t="s">
        <v>170</v>
      </c>
      <c r="J7" s="21">
        <f>'Cuadro Inv'!J86</f>
        <v>400</v>
      </c>
      <c r="K7" s="21">
        <f>'Cuadro Inv'!K86</f>
        <v>0</v>
      </c>
      <c r="L7" s="21">
        <f>'Cuadro Inv'!L86</f>
        <v>0</v>
      </c>
      <c r="M7" s="21">
        <f>'Cuadro Inv'!M86</f>
        <v>0</v>
      </c>
      <c r="N7" s="513">
        <f>SUM(J7:M19)</f>
        <v>10825.971</v>
      </c>
    </row>
    <row r="8" spans="1:16" ht="30" x14ac:dyDescent="0.25">
      <c r="B8" s="108" t="s">
        <v>189</v>
      </c>
      <c r="C8" s="25">
        <f>'Cuadro Inv'!J7</f>
        <v>1300</v>
      </c>
      <c r="D8" s="21">
        <f>'Cuadro Inv'!K7</f>
        <v>0</v>
      </c>
      <c r="E8" s="21">
        <f>'Cuadro Inv'!L7</f>
        <v>0</v>
      </c>
      <c r="F8" s="92">
        <f>'Cuadro Inv'!M7</f>
        <v>0</v>
      </c>
      <c r="G8" s="511"/>
      <c r="I8" s="112" t="s">
        <v>189</v>
      </c>
      <c r="J8" s="21">
        <f>'Cuadro Inv'!J87</f>
        <v>1300</v>
      </c>
      <c r="K8" s="21">
        <f>'Cuadro Inv'!K87</f>
        <v>0</v>
      </c>
      <c r="L8" s="21">
        <f>'Cuadro Inv'!L87</f>
        <v>0</v>
      </c>
      <c r="M8" s="21">
        <f>'Cuadro Inv'!M87</f>
        <v>0</v>
      </c>
      <c r="N8" s="514"/>
    </row>
    <row r="9" spans="1:16" ht="30" x14ac:dyDescent="0.25">
      <c r="B9" s="108" t="s">
        <v>300</v>
      </c>
      <c r="C9" s="25">
        <f>'Cuadro Inv'!J8</f>
        <v>3365.971</v>
      </c>
      <c r="D9" s="21">
        <f>'Cuadro Inv'!K8</f>
        <v>0</v>
      </c>
      <c r="E9" s="21">
        <f>'Cuadro Inv'!L8</f>
        <v>0</v>
      </c>
      <c r="F9" s="92">
        <f>'Cuadro Inv'!M8</f>
        <v>0</v>
      </c>
      <c r="G9" s="511"/>
      <c r="I9" s="112" t="s">
        <v>300</v>
      </c>
      <c r="J9" s="21">
        <f>'Cuadro Inv'!J88</f>
        <v>3365.971</v>
      </c>
      <c r="K9" s="21">
        <f>'Cuadro Inv'!K88</f>
        <v>0</v>
      </c>
      <c r="L9" s="21">
        <f>'Cuadro Inv'!L88</f>
        <v>0</v>
      </c>
      <c r="M9" s="21">
        <f>'Cuadro Inv'!M88</f>
        <v>0</v>
      </c>
      <c r="N9" s="514"/>
    </row>
    <row r="10" spans="1:16" x14ac:dyDescent="0.25">
      <c r="B10" s="108" t="s">
        <v>219</v>
      </c>
      <c r="C10" s="25">
        <f>'Cuadro Inv'!J9</f>
        <v>1900</v>
      </c>
      <c r="D10" s="21">
        <f>'Cuadro Inv'!K9</f>
        <v>0</v>
      </c>
      <c r="E10" s="21">
        <f>'Cuadro Inv'!L9</f>
        <v>0</v>
      </c>
      <c r="F10" s="92">
        <f>'Cuadro Inv'!M9</f>
        <v>0</v>
      </c>
      <c r="G10" s="511"/>
      <c r="I10" s="112" t="s">
        <v>219</v>
      </c>
      <c r="J10" s="21">
        <f>'Cuadro Inv'!J89</f>
        <v>1900</v>
      </c>
      <c r="K10" s="21">
        <f>'Cuadro Inv'!K89</f>
        <v>0</v>
      </c>
      <c r="L10" s="21">
        <f>'Cuadro Inv'!L89</f>
        <v>0</v>
      </c>
      <c r="M10" s="21">
        <f>'Cuadro Inv'!M89</f>
        <v>0</v>
      </c>
      <c r="N10" s="514"/>
    </row>
    <row r="11" spans="1:16" x14ac:dyDescent="0.25">
      <c r="B11" s="108" t="s">
        <v>208</v>
      </c>
      <c r="C11" s="25">
        <f>'Cuadro Inv'!J10</f>
        <v>750</v>
      </c>
      <c r="D11" s="21">
        <f>'Cuadro Inv'!K10</f>
        <v>0</v>
      </c>
      <c r="E11" s="21">
        <f>'Cuadro Inv'!L10</f>
        <v>0</v>
      </c>
      <c r="F11" s="92">
        <f>'Cuadro Inv'!M10</f>
        <v>0</v>
      </c>
      <c r="G11" s="511"/>
      <c r="I11" s="112" t="s">
        <v>208</v>
      </c>
      <c r="J11" s="21">
        <f>'Cuadro Inv'!J90</f>
        <v>750</v>
      </c>
      <c r="K11" s="21">
        <f>'Cuadro Inv'!K90</f>
        <v>0</v>
      </c>
      <c r="L11" s="21">
        <f>'Cuadro Inv'!L90</f>
        <v>0</v>
      </c>
      <c r="M11" s="21">
        <f>'Cuadro Inv'!M90</f>
        <v>0</v>
      </c>
      <c r="N11" s="514"/>
    </row>
    <row r="12" spans="1:16" x14ac:dyDescent="0.25">
      <c r="B12" s="108" t="s">
        <v>214</v>
      </c>
      <c r="C12" s="25">
        <f>'Cuadro Inv'!J11</f>
        <v>2000</v>
      </c>
      <c r="D12" s="21">
        <f>'Cuadro Inv'!K11</f>
        <v>0</v>
      </c>
      <c r="E12" s="21">
        <f>'Cuadro Inv'!L11</f>
        <v>0</v>
      </c>
      <c r="F12" s="92">
        <f>'Cuadro Inv'!M11</f>
        <v>0</v>
      </c>
      <c r="G12" s="511"/>
      <c r="I12" s="112" t="s">
        <v>214</v>
      </c>
      <c r="J12" s="21">
        <f>'Cuadro Inv'!J91</f>
        <v>2000</v>
      </c>
      <c r="K12" s="21">
        <f>'Cuadro Inv'!K91</f>
        <v>0</v>
      </c>
      <c r="L12" s="21">
        <f>'Cuadro Inv'!L91</f>
        <v>0</v>
      </c>
      <c r="M12" s="21">
        <f>'Cuadro Inv'!M91</f>
        <v>0</v>
      </c>
      <c r="N12" s="514"/>
    </row>
    <row r="13" spans="1:16" x14ac:dyDescent="0.25">
      <c r="B13" s="108" t="s">
        <v>216</v>
      </c>
      <c r="C13" s="25">
        <f>'Cuadro Inv'!J12</f>
        <v>500</v>
      </c>
      <c r="D13" s="21">
        <f>'Cuadro Inv'!K12</f>
        <v>0</v>
      </c>
      <c r="E13" s="21">
        <f>'Cuadro Inv'!L12</f>
        <v>0</v>
      </c>
      <c r="F13" s="92">
        <f>'Cuadro Inv'!M12</f>
        <v>0</v>
      </c>
      <c r="G13" s="511"/>
      <c r="I13" s="112" t="s">
        <v>216</v>
      </c>
      <c r="J13" s="21">
        <f>'Cuadro Inv'!J92</f>
        <v>500</v>
      </c>
      <c r="K13" s="21">
        <f>'Cuadro Inv'!K92</f>
        <v>0</v>
      </c>
      <c r="L13" s="21">
        <f>'Cuadro Inv'!L92</f>
        <v>0</v>
      </c>
      <c r="M13" s="21">
        <f>'Cuadro Inv'!M92</f>
        <v>0</v>
      </c>
      <c r="N13" s="514"/>
    </row>
    <row r="14" spans="1:16" x14ac:dyDescent="0.25">
      <c r="B14" s="108" t="s">
        <v>217</v>
      </c>
      <c r="C14" s="25">
        <f>'Cuadro Inv'!J13</f>
        <v>240</v>
      </c>
      <c r="D14" s="21">
        <f>'Cuadro Inv'!K13</f>
        <v>0</v>
      </c>
      <c r="E14" s="21">
        <f>'Cuadro Inv'!L13</f>
        <v>0</v>
      </c>
      <c r="F14" s="92">
        <f>'Cuadro Inv'!M13</f>
        <v>0</v>
      </c>
      <c r="G14" s="511"/>
      <c r="I14" s="112" t="s">
        <v>217</v>
      </c>
      <c r="J14" s="21">
        <f>'Cuadro Inv'!J93</f>
        <v>240</v>
      </c>
      <c r="K14" s="21">
        <f>'Cuadro Inv'!K93</f>
        <v>0</v>
      </c>
      <c r="L14" s="21">
        <f>'Cuadro Inv'!L93</f>
        <v>0</v>
      </c>
      <c r="M14" s="21">
        <f>'Cuadro Inv'!M93</f>
        <v>0</v>
      </c>
      <c r="N14" s="514"/>
    </row>
    <row r="15" spans="1:16" x14ac:dyDescent="0.25">
      <c r="B15" s="108" t="s">
        <v>172</v>
      </c>
      <c r="C15" s="25">
        <f>'Cuadro Inv'!J14</f>
        <v>20</v>
      </c>
      <c r="D15" s="21">
        <f>'Cuadro Inv'!K14</f>
        <v>0</v>
      </c>
      <c r="E15" s="21">
        <f>'Cuadro Inv'!L14</f>
        <v>0</v>
      </c>
      <c r="F15" s="92">
        <f>'Cuadro Inv'!M14</f>
        <v>0</v>
      </c>
      <c r="G15" s="511"/>
      <c r="I15" s="112" t="s">
        <v>172</v>
      </c>
      <c r="J15" s="21">
        <f>'Cuadro Inv'!J94</f>
        <v>20</v>
      </c>
      <c r="K15" s="21">
        <f>'Cuadro Inv'!K94</f>
        <v>0</v>
      </c>
      <c r="L15" s="21">
        <f>'Cuadro Inv'!L94</f>
        <v>0</v>
      </c>
      <c r="M15" s="21">
        <f>'Cuadro Inv'!M94</f>
        <v>0</v>
      </c>
      <c r="N15" s="514"/>
    </row>
    <row r="16" spans="1:16" ht="30" x14ac:dyDescent="0.25">
      <c r="B16" s="108" t="s">
        <v>302</v>
      </c>
      <c r="C16" s="25">
        <f>'Cuadro Inv'!J15</f>
        <v>100</v>
      </c>
      <c r="D16" s="21">
        <f>'Cuadro Inv'!K15</f>
        <v>0</v>
      </c>
      <c r="E16" s="21">
        <f>'Cuadro Inv'!L15</f>
        <v>0</v>
      </c>
      <c r="F16" s="92">
        <f>'Cuadro Inv'!M15</f>
        <v>0</v>
      </c>
      <c r="G16" s="511"/>
      <c r="I16" s="112" t="s">
        <v>302</v>
      </c>
      <c r="J16" s="21">
        <f>'Cuadro Inv'!J95</f>
        <v>100</v>
      </c>
      <c r="K16" s="21">
        <f>'Cuadro Inv'!K95</f>
        <v>0</v>
      </c>
      <c r="L16" s="21">
        <f>'Cuadro Inv'!L95</f>
        <v>0</v>
      </c>
      <c r="M16" s="21">
        <f>'Cuadro Inv'!M95</f>
        <v>0</v>
      </c>
      <c r="N16" s="514"/>
    </row>
    <row r="17" spans="2:14" x14ac:dyDescent="0.25">
      <c r="B17" s="108" t="s">
        <v>295</v>
      </c>
      <c r="C17" s="25">
        <f>'Cuadro Inv'!J16</f>
        <v>150</v>
      </c>
      <c r="D17" s="21">
        <f>'Cuadro Inv'!K16</f>
        <v>0</v>
      </c>
      <c r="E17" s="21">
        <f>'Cuadro Inv'!L16</f>
        <v>0</v>
      </c>
      <c r="F17" s="92">
        <f>'Cuadro Inv'!M16</f>
        <v>0</v>
      </c>
      <c r="G17" s="511"/>
      <c r="I17" s="112" t="s">
        <v>295</v>
      </c>
      <c r="J17" s="21">
        <f>'Cuadro Inv'!J96</f>
        <v>150</v>
      </c>
      <c r="K17" s="21">
        <f>'Cuadro Inv'!K96</f>
        <v>0</v>
      </c>
      <c r="L17" s="21">
        <f>'Cuadro Inv'!L96</f>
        <v>0</v>
      </c>
      <c r="M17" s="21">
        <f>'Cuadro Inv'!M96</f>
        <v>0</v>
      </c>
      <c r="N17" s="514"/>
    </row>
    <row r="18" spans="2:14" x14ac:dyDescent="0.25">
      <c r="B18" s="108" t="s">
        <v>303</v>
      </c>
      <c r="C18" s="25">
        <f>'Cuadro Inv'!J17</f>
        <v>50</v>
      </c>
      <c r="D18" s="21">
        <f>'Cuadro Inv'!K17</f>
        <v>0</v>
      </c>
      <c r="E18" s="21">
        <f>'Cuadro Inv'!L17</f>
        <v>0</v>
      </c>
      <c r="F18" s="92">
        <f>'Cuadro Inv'!M17</f>
        <v>0</v>
      </c>
      <c r="G18" s="511"/>
      <c r="I18" s="112" t="s">
        <v>303</v>
      </c>
      <c r="J18" s="21">
        <f>'Cuadro Inv'!J97</f>
        <v>50</v>
      </c>
      <c r="K18" s="21">
        <f>'Cuadro Inv'!K97</f>
        <v>0</v>
      </c>
      <c r="L18" s="21">
        <f>'Cuadro Inv'!L97</f>
        <v>0</v>
      </c>
      <c r="M18" s="21">
        <f>'Cuadro Inv'!M97</f>
        <v>0</v>
      </c>
      <c r="N18" s="514"/>
    </row>
    <row r="19" spans="2:14" ht="15.75" thickBot="1" x14ac:dyDescent="0.3">
      <c r="B19" s="109" t="s">
        <v>173</v>
      </c>
      <c r="C19" s="27">
        <f>'Cuadro Inv'!J18</f>
        <v>50</v>
      </c>
      <c r="D19" s="29">
        <f>'Cuadro Inv'!K18</f>
        <v>0</v>
      </c>
      <c r="E19" s="29">
        <f>'Cuadro Inv'!L18</f>
        <v>0</v>
      </c>
      <c r="F19" s="93">
        <f>'Cuadro Inv'!M18</f>
        <v>0</v>
      </c>
      <c r="G19" s="512"/>
      <c r="I19" s="113" t="s">
        <v>173</v>
      </c>
      <c r="J19" s="21">
        <f>'Cuadro Inv'!J98</f>
        <v>50</v>
      </c>
      <c r="K19" s="21">
        <f>'Cuadro Inv'!K98</f>
        <v>0</v>
      </c>
      <c r="L19" s="21">
        <f>'Cuadro Inv'!L98</f>
        <v>0</v>
      </c>
      <c r="M19" s="21">
        <f>'Cuadro Inv'!M98</f>
        <v>0</v>
      </c>
      <c r="N19" s="514"/>
    </row>
    <row r="20" spans="2:14" x14ac:dyDescent="0.25">
      <c r="B20" s="107" t="s">
        <v>174</v>
      </c>
      <c r="C20" s="22">
        <f>'Cuadro Inv'!J19</f>
        <v>0</v>
      </c>
      <c r="D20" s="24">
        <f>'Cuadro Inv'!K19</f>
        <v>380</v>
      </c>
      <c r="E20" s="24">
        <f>'Cuadro Inv'!L19</f>
        <v>0</v>
      </c>
      <c r="F20" s="91">
        <f>'Cuadro Inv'!M19</f>
        <v>0</v>
      </c>
      <c r="G20" s="510">
        <f>SUM(C20:F28)</f>
        <v>4160</v>
      </c>
      <c r="I20" s="111" t="s">
        <v>174</v>
      </c>
      <c r="J20" s="22">
        <f>'Cuadro Inv'!J99</f>
        <v>0</v>
      </c>
      <c r="K20" s="24">
        <f>'Cuadro Inv'!K99</f>
        <v>380</v>
      </c>
      <c r="L20" s="24">
        <f>'Cuadro Inv'!L99</f>
        <v>0</v>
      </c>
      <c r="M20" s="24">
        <f>'Cuadro Inv'!M99</f>
        <v>0</v>
      </c>
      <c r="N20" s="515">
        <f>SUM(J20:M30)</f>
        <v>4888.8107820000005</v>
      </c>
    </row>
    <row r="21" spans="2:14" ht="30" x14ac:dyDescent="0.25">
      <c r="B21" s="108" t="s">
        <v>176</v>
      </c>
      <c r="C21" s="25">
        <f>'Cuadro Inv'!J20</f>
        <v>0</v>
      </c>
      <c r="D21" s="21">
        <f>'Cuadro Inv'!K20</f>
        <v>570</v>
      </c>
      <c r="E21" s="21">
        <f>'Cuadro Inv'!L20</f>
        <v>0</v>
      </c>
      <c r="F21" s="92">
        <f>'Cuadro Inv'!M20</f>
        <v>0</v>
      </c>
      <c r="G21" s="511"/>
      <c r="I21" s="112" t="s">
        <v>176</v>
      </c>
      <c r="J21" s="25">
        <f>'Cuadro Inv'!J100</f>
        <v>0</v>
      </c>
      <c r="K21" s="21">
        <f>'Cuadro Inv'!K100</f>
        <v>570</v>
      </c>
      <c r="L21" s="21">
        <f>'Cuadro Inv'!L100</f>
        <v>0</v>
      </c>
      <c r="M21" s="21">
        <f>'Cuadro Inv'!M100</f>
        <v>0</v>
      </c>
      <c r="N21" s="513"/>
    </row>
    <row r="22" spans="2:14" ht="30" x14ac:dyDescent="0.25">
      <c r="B22" s="108" t="s">
        <v>306</v>
      </c>
      <c r="C22" s="25">
        <f>'Cuadro Inv'!J21</f>
        <v>0</v>
      </c>
      <c r="D22" s="21">
        <f>'Cuadro Inv'!K21</f>
        <v>2150</v>
      </c>
      <c r="E22" s="21">
        <f>'Cuadro Inv'!L21</f>
        <v>0</v>
      </c>
      <c r="F22" s="92">
        <f>'Cuadro Inv'!M21</f>
        <v>0</v>
      </c>
      <c r="G22" s="511"/>
      <c r="I22" s="112" t="s">
        <v>306</v>
      </c>
      <c r="J22" s="25">
        <f>'Cuadro Inv'!J101</f>
        <v>0</v>
      </c>
      <c r="K22" s="21">
        <f>'Cuadro Inv'!K101</f>
        <v>2150</v>
      </c>
      <c r="L22" s="21">
        <f>'Cuadro Inv'!L101</f>
        <v>0</v>
      </c>
      <c r="M22" s="21">
        <f>'Cuadro Inv'!M101</f>
        <v>0</v>
      </c>
      <c r="N22" s="513"/>
    </row>
    <row r="23" spans="2:14" x14ac:dyDescent="0.25">
      <c r="B23" s="108" t="s">
        <v>304</v>
      </c>
      <c r="C23" s="25">
        <f>'Cuadro Inv'!J22</f>
        <v>0</v>
      </c>
      <c r="D23" s="21">
        <f>'Cuadro Inv'!K22</f>
        <v>120</v>
      </c>
      <c r="E23" s="21">
        <f>'Cuadro Inv'!L22</f>
        <v>0</v>
      </c>
      <c r="F23" s="92">
        <f>'Cuadro Inv'!M22</f>
        <v>0</v>
      </c>
      <c r="G23" s="511"/>
      <c r="I23" s="112" t="s">
        <v>304</v>
      </c>
      <c r="J23" s="25">
        <f>'Cuadro Inv'!J102</f>
        <v>0</v>
      </c>
      <c r="K23" s="21">
        <f>'Cuadro Inv'!K102</f>
        <v>120</v>
      </c>
      <c r="L23" s="21">
        <f>'Cuadro Inv'!L102</f>
        <v>0</v>
      </c>
      <c r="M23" s="21">
        <f>'Cuadro Inv'!M102</f>
        <v>0</v>
      </c>
      <c r="N23" s="513"/>
    </row>
    <row r="24" spans="2:14" x14ac:dyDescent="0.25">
      <c r="B24" s="108" t="s">
        <v>178</v>
      </c>
      <c r="C24" s="25">
        <f>'Cuadro Inv'!J23</f>
        <v>0</v>
      </c>
      <c r="D24" s="21">
        <f>'Cuadro Inv'!K23</f>
        <v>80</v>
      </c>
      <c r="E24" s="21">
        <f>'Cuadro Inv'!L23</f>
        <v>0</v>
      </c>
      <c r="F24" s="92">
        <f>'Cuadro Inv'!M23</f>
        <v>0</v>
      </c>
      <c r="G24" s="511"/>
      <c r="I24" s="112" t="s">
        <v>178</v>
      </c>
      <c r="J24" s="25">
        <f>'Cuadro Inv'!J103</f>
        <v>0</v>
      </c>
      <c r="K24" s="21">
        <f>'Cuadro Inv'!K103</f>
        <v>80</v>
      </c>
      <c r="L24" s="21">
        <f>'Cuadro Inv'!L103</f>
        <v>0</v>
      </c>
      <c r="M24" s="21">
        <f>'Cuadro Inv'!M103</f>
        <v>0</v>
      </c>
      <c r="N24" s="513"/>
    </row>
    <row r="25" spans="2:14" x14ac:dyDescent="0.25">
      <c r="B25" s="108" t="s">
        <v>177</v>
      </c>
      <c r="C25" s="25">
        <f>'Cuadro Inv'!J24</f>
        <v>0</v>
      </c>
      <c r="D25" s="21">
        <f>'Cuadro Inv'!K24</f>
        <v>200</v>
      </c>
      <c r="E25" s="21">
        <f>'Cuadro Inv'!L24</f>
        <v>0</v>
      </c>
      <c r="F25" s="92">
        <f>'Cuadro Inv'!M24</f>
        <v>0</v>
      </c>
      <c r="G25" s="511"/>
      <c r="I25" s="112" t="s">
        <v>177</v>
      </c>
      <c r="J25" s="25">
        <f>'Cuadro Inv'!J104</f>
        <v>0</v>
      </c>
      <c r="K25" s="21">
        <f>'Cuadro Inv'!K104</f>
        <v>200</v>
      </c>
      <c r="L25" s="21">
        <f>'Cuadro Inv'!L104</f>
        <v>0</v>
      </c>
      <c r="M25" s="21">
        <f>'Cuadro Inv'!M104</f>
        <v>0</v>
      </c>
      <c r="N25" s="513"/>
    </row>
    <row r="26" spans="2:14" x14ac:dyDescent="0.25">
      <c r="B26" s="108" t="s">
        <v>280</v>
      </c>
      <c r="C26" s="25">
        <f>'Cuadro Inv'!J25</f>
        <v>0</v>
      </c>
      <c r="D26" s="21">
        <f>'Cuadro Inv'!K25</f>
        <v>100</v>
      </c>
      <c r="E26" s="21">
        <f>'Cuadro Inv'!L25</f>
        <v>0</v>
      </c>
      <c r="F26" s="92">
        <f>'Cuadro Inv'!M25</f>
        <v>0</v>
      </c>
      <c r="G26" s="511"/>
      <c r="I26" s="112" t="s">
        <v>280</v>
      </c>
      <c r="J26" s="25">
        <f>'Cuadro Inv'!J105</f>
        <v>0</v>
      </c>
      <c r="K26" s="21">
        <f>'Cuadro Inv'!K105</f>
        <v>100</v>
      </c>
      <c r="L26" s="21">
        <f>'Cuadro Inv'!L105</f>
        <v>0</v>
      </c>
      <c r="M26" s="21">
        <f>'Cuadro Inv'!M105</f>
        <v>0</v>
      </c>
      <c r="N26" s="513"/>
    </row>
    <row r="27" spans="2:14" x14ac:dyDescent="0.25">
      <c r="B27" s="311" t="s">
        <v>286</v>
      </c>
      <c r="C27" s="25">
        <f>'Cuadro Inv'!J26</f>
        <v>0</v>
      </c>
      <c r="D27" s="21">
        <f>'Cuadro Inv'!K26</f>
        <v>100</v>
      </c>
      <c r="E27" s="21">
        <f>'Cuadro Inv'!L26</f>
        <v>0</v>
      </c>
      <c r="F27" s="92">
        <f>'Cuadro Inv'!M26</f>
        <v>0</v>
      </c>
      <c r="G27" s="511"/>
      <c r="I27" s="311" t="s">
        <v>286</v>
      </c>
      <c r="J27" s="25">
        <f>'Cuadro Inv'!J106</f>
        <v>0</v>
      </c>
      <c r="K27" s="21">
        <f>'Cuadro Inv'!K106</f>
        <v>100</v>
      </c>
      <c r="L27" s="21">
        <f>'Cuadro Inv'!L106</f>
        <v>0</v>
      </c>
      <c r="M27" s="21">
        <f>'Cuadro Inv'!M106</f>
        <v>0</v>
      </c>
      <c r="N27" s="513"/>
    </row>
    <row r="28" spans="2:14" ht="15.75" thickBot="1" x14ac:dyDescent="0.3">
      <c r="B28" s="109" t="s">
        <v>175</v>
      </c>
      <c r="C28" s="27">
        <f>'Cuadro Inv'!J27</f>
        <v>0</v>
      </c>
      <c r="D28" s="29">
        <f>'Cuadro Inv'!K27</f>
        <v>460</v>
      </c>
      <c r="E28" s="29">
        <f>'Cuadro Inv'!L27</f>
        <v>0</v>
      </c>
      <c r="F28" s="93">
        <f>'Cuadro Inv'!M27</f>
        <v>0</v>
      </c>
      <c r="G28" s="512"/>
      <c r="I28" s="112" t="s">
        <v>175</v>
      </c>
      <c r="J28" s="25">
        <f>'Cuadro Inv'!J107</f>
        <v>0</v>
      </c>
      <c r="K28" s="21">
        <f>'Cuadro Inv'!K107</f>
        <v>460</v>
      </c>
      <c r="L28" s="21">
        <f>'Cuadro Inv'!L107</f>
        <v>0</v>
      </c>
      <c r="M28" s="21">
        <f>'Cuadro Inv'!M107</f>
        <v>0</v>
      </c>
      <c r="N28" s="513"/>
    </row>
    <row r="29" spans="2:14" ht="30" x14ac:dyDescent="0.25">
      <c r="B29" s="107" t="s">
        <v>179</v>
      </c>
      <c r="C29" s="22">
        <f>'Cuadro Inv'!J28</f>
        <v>0</v>
      </c>
      <c r="D29" s="24">
        <f>'Cuadro Inv'!K28</f>
        <v>0</v>
      </c>
      <c r="E29" s="24">
        <f>'Cuadro Inv'!L28</f>
        <v>135</v>
      </c>
      <c r="F29" s="91">
        <f>'Cuadro Inv'!M28</f>
        <v>0</v>
      </c>
      <c r="G29" s="510">
        <f>SUM(C29:F34)</f>
        <v>1300</v>
      </c>
      <c r="I29" s="112" t="str">
        <f>'Cuadro Inv'!I108</f>
        <v>Costo de Constitución de las Garantías</v>
      </c>
      <c r="J29" s="25">
        <f>'Cuadro Inv'!J108</f>
        <v>0</v>
      </c>
      <c r="K29" s="104">
        <f>'Cuadro Inv'!K108</f>
        <v>104.115826</v>
      </c>
      <c r="L29" s="21">
        <f>'Cuadro Inv'!L108</f>
        <v>0</v>
      </c>
      <c r="M29" s="21">
        <f>'Cuadro Inv'!M108</f>
        <v>0</v>
      </c>
      <c r="N29" s="513"/>
    </row>
    <row r="30" spans="2:14" ht="15.75" thickBot="1" x14ac:dyDescent="0.3">
      <c r="B30" s="108" t="s">
        <v>180</v>
      </c>
      <c r="C30" s="25">
        <f>'Cuadro Inv'!J29</f>
        <v>0</v>
      </c>
      <c r="D30" s="21">
        <f>'Cuadro Inv'!K29</f>
        <v>0</v>
      </c>
      <c r="E30" s="21">
        <f>'Cuadro Inv'!L29</f>
        <v>80</v>
      </c>
      <c r="F30" s="92">
        <f>'Cuadro Inv'!M29</f>
        <v>0</v>
      </c>
      <c r="G30" s="511"/>
      <c r="I30" s="113" t="str">
        <f>'Cuadro Inv'!I109</f>
        <v>Intereses Intercalarios</v>
      </c>
      <c r="J30" s="27">
        <f>'Cuadro Inv'!J109</f>
        <v>0</v>
      </c>
      <c r="K30" s="104">
        <f>'Cuadro Inv'!K109</f>
        <v>624.69495600000005</v>
      </c>
      <c r="L30" s="29">
        <f>'Cuadro Inv'!L109</f>
        <v>0</v>
      </c>
      <c r="M30" s="29">
        <f>'Cuadro Inv'!M109</f>
        <v>0</v>
      </c>
      <c r="N30" s="516"/>
    </row>
    <row r="31" spans="2:14" x14ac:dyDescent="0.25">
      <c r="B31" s="108" t="s">
        <v>181</v>
      </c>
      <c r="C31" s="25">
        <f>'Cuadro Inv'!J30</f>
        <v>0</v>
      </c>
      <c r="D31" s="21">
        <f>'Cuadro Inv'!K30</f>
        <v>0</v>
      </c>
      <c r="E31" s="21">
        <f>'Cuadro Inv'!L30</f>
        <v>5</v>
      </c>
      <c r="F31" s="92">
        <f>'Cuadro Inv'!M30</f>
        <v>0</v>
      </c>
      <c r="G31" s="511"/>
      <c r="I31" s="111" t="s">
        <v>179</v>
      </c>
      <c r="J31" s="22">
        <f>'Cuadro Inv'!J110</f>
        <v>0</v>
      </c>
      <c r="K31" s="24">
        <f>'Cuadro Inv'!K110</f>
        <v>0</v>
      </c>
      <c r="L31" s="24">
        <f>'Cuadro Inv'!L110</f>
        <v>135</v>
      </c>
      <c r="M31" s="24">
        <f>'Cuadro Inv'!M110</f>
        <v>0</v>
      </c>
      <c r="N31" s="515">
        <f>SUM(J31:M36)</f>
        <v>1300</v>
      </c>
    </row>
    <row r="32" spans="2:14" x14ac:dyDescent="0.25">
      <c r="B32" s="108" t="s">
        <v>182</v>
      </c>
      <c r="C32" s="25">
        <f>'Cuadro Inv'!J31</f>
        <v>0</v>
      </c>
      <c r="D32" s="21">
        <f>'Cuadro Inv'!K31</f>
        <v>0</v>
      </c>
      <c r="E32" s="21">
        <f>'Cuadro Inv'!L31</f>
        <v>80</v>
      </c>
      <c r="F32" s="92">
        <f>'Cuadro Inv'!M31</f>
        <v>0</v>
      </c>
      <c r="G32" s="511"/>
      <c r="I32" s="112" t="s">
        <v>180</v>
      </c>
      <c r="J32" s="25">
        <f>'Cuadro Inv'!J111</f>
        <v>0</v>
      </c>
      <c r="K32" s="21">
        <f>'Cuadro Inv'!K111</f>
        <v>0</v>
      </c>
      <c r="L32" s="21">
        <f>'Cuadro Inv'!L111</f>
        <v>80</v>
      </c>
      <c r="M32" s="21">
        <f>'Cuadro Inv'!M111</f>
        <v>0</v>
      </c>
      <c r="N32" s="513"/>
    </row>
    <row r="33" spans="2:17" x14ac:dyDescent="0.25">
      <c r="B33" s="108" t="s">
        <v>183</v>
      </c>
      <c r="C33" s="25">
        <f>'Cuadro Inv'!J32</f>
        <v>0</v>
      </c>
      <c r="D33" s="21">
        <f>'Cuadro Inv'!K32</f>
        <v>0</v>
      </c>
      <c r="E33" s="21">
        <f>'Cuadro Inv'!L32</f>
        <v>500</v>
      </c>
      <c r="F33" s="92">
        <f>'Cuadro Inv'!M32</f>
        <v>0</v>
      </c>
      <c r="G33" s="511"/>
      <c r="I33" s="112" t="s">
        <v>181</v>
      </c>
      <c r="J33" s="25">
        <f>'Cuadro Inv'!J112</f>
        <v>0</v>
      </c>
      <c r="K33" s="21">
        <f>'Cuadro Inv'!K112</f>
        <v>0</v>
      </c>
      <c r="L33" s="21">
        <f>'Cuadro Inv'!L112</f>
        <v>5</v>
      </c>
      <c r="M33" s="21">
        <f>'Cuadro Inv'!M112</f>
        <v>0</v>
      </c>
      <c r="N33" s="513"/>
    </row>
    <row r="34" spans="2:17" ht="30.75" thickBot="1" x14ac:dyDescent="0.3">
      <c r="B34" s="109" t="s">
        <v>184</v>
      </c>
      <c r="C34" s="27">
        <f>'Cuadro Inv'!J33</f>
        <v>0</v>
      </c>
      <c r="D34" s="29">
        <f>'Cuadro Inv'!K33</f>
        <v>0</v>
      </c>
      <c r="E34" s="29">
        <f>'Cuadro Inv'!L33</f>
        <v>500</v>
      </c>
      <c r="F34" s="93">
        <f>'Cuadro Inv'!M33</f>
        <v>0</v>
      </c>
      <c r="G34" s="512"/>
      <c r="I34" s="112" t="s">
        <v>182</v>
      </c>
      <c r="J34" s="25">
        <f>'Cuadro Inv'!J113</f>
        <v>0</v>
      </c>
      <c r="K34" s="21">
        <f>'Cuadro Inv'!K113</f>
        <v>0</v>
      </c>
      <c r="L34" s="21">
        <f>'Cuadro Inv'!L113</f>
        <v>80</v>
      </c>
      <c r="M34" s="21">
        <f>'Cuadro Inv'!M113</f>
        <v>0</v>
      </c>
      <c r="N34" s="513"/>
    </row>
    <row r="35" spans="2:17" ht="15.75" thickBot="1" x14ac:dyDescent="0.3">
      <c r="B35" s="106" t="s">
        <v>305</v>
      </c>
      <c r="C35" s="17">
        <f>'Cuadro Inv'!J34</f>
        <v>0</v>
      </c>
      <c r="D35" s="18">
        <f>'Cuadro Inv'!K34</f>
        <v>1500</v>
      </c>
      <c r="E35" s="18">
        <f>'Cuadro Inv'!L34</f>
        <v>0</v>
      </c>
      <c r="F35" s="45">
        <f>'Cuadro Inv'!M34</f>
        <v>0</v>
      </c>
      <c r="G35" s="47">
        <f>SUM(C35:F35)</f>
        <v>1500</v>
      </c>
      <c r="I35" s="112" t="s">
        <v>183</v>
      </c>
      <c r="J35" s="25">
        <f>'Cuadro Inv'!J114</f>
        <v>0</v>
      </c>
      <c r="K35" s="21">
        <f>'Cuadro Inv'!K114</f>
        <v>0</v>
      </c>
      <c r="L35" s="21">
        <f>'Cuadro Inv'!L114</f>
        <v>500</v>
      </c>
      <c r="M35" s="21">
        <f>'Cuadro Inv'!M114</f>
        <v>0</v>
      </c>
      <c r="N35" s="513"/>
    </row>
    <row r="36" spans="2:17" ht="30.75" thickBot="1" x14ac:dyDescent="0.3">
      <c r="C36" s="17">
        <f>'Cuadro Inv'!J35</f>
        <v>10825.971</v>
      </c>
      <c r="D36" s="18">
        <f>'Cuadro Inv'!K35</f>
        <v>5660</v>
      </c>
      <c r="E36" s="18">
        <f>'Cuadro Inv'!L35</f>
        <v>1300</v>
      </c>
      <c r="F36" s="45">
        <f>'Cuadro Inv'!M35</f>
        <v>170</v>
      </c>
      <c r="G36" s="47">
        <f t="shared" ref="G36" si="0">SUM(G6:G35)</f>
        <v>17955.970999999998</v>
      </c>
      <c r="I36" s="113" t="s">
        <v>184</v>
      </c>
      <c r="J36" s="27">
        <f>'Cuadro Inv'!J115</f>
        <v>0</v>
      </c>
      <c r="K36" s="29">
        <f>'Cuadro Inv'!K115</f>
        <v>0</v>
      </c>
      <c r="L36" s="29">
        <f>'Cuadro Inv'!L115</f>
        <v>500</v>
      </c>
      <c r="M36" s="29">
        <f>'Cuadro Inv'!M115</f>
        <v>0</v>
      </c>
      <c r="N36" s="516"/>
    </row>
    <row r="37" spans="2:17" ht="15.75" thickBot="1" x14ac:dyDescent="0.3">
      <c r="I37" s="110" t="s">
        <v>305</v>
      </c>
      <c r="J37" s="17">
        <f>'Cuadro Inv'!J116</f>
        <v>0</v>
      </c>
      <c r="K37" s="18">
        <f>'Cuadro Inv'!K116</f>
        <v>1500</v>
      </c>
      <c r="L37" s="18">
        <f>'Cuadro Inv'!L116</f>
        <v>0</v>
      </c>
      <c r="M37" s="18">
        <f>'Cuadro Inv'!M116</f>
        <v>0</v>
      </c>
      <c r="N37" s="103">
        <f>SUM(J37:M37)</f>
        <v>1500</v>
      </c>
    </row>
    <row r="38" spans="2:17" ht="15.75" thickBot="1" x14ac:dyDescent="0.3">
      <c r="J38" s="17">
        <f>'Cuadro Inv'!J117</f>
        <v>10825.971</v>
      </c>
      <c r="K38" s="105">
        <f>'Cuadro Inv'!K117</f>
        <v>6388.8107820000005</v>
      </c>
      <c r="L38" s="18">
        <f>'Cuadro Inv'!L117</f>
        <v>1300</v>
      </c>
      <c r="M38" s="18">
        <f>'Cuadro Inv'!M117</f>
        <v>170</v>
      </c>
      <c r="N38" s="103">
        <f>SUM(N6:N37)</f>
        <v>18684.781781999998</v>
      </c>
    </row>
    <row r="40" spans="2:17" x14ac:dyDescent="0.25">
      <c r="B40" s="506" t="s">
        <v>549</v>
      </c>
      <c r="C40" s="506"/>
      <c r="D40" s="506"/>
      <c r="E40" s="506"/>
      <c r="F40" s="506"/>
      <c r="G40" s="506"/>
      <c r="H40" s="506"/>
      <c r="I40" s="506"/>
      <c r="J40" s="506"/>
      <c r="K40" s="506"/>
      <c r="L40" s="506"/>
      <c r="M40" s="506"/>
      <c r="N40" s="506"/>
      <c r="O40" s="506"/>
      <c r="P40" s="506"/>
      <c r="Q40" s="506"/>
    </row>
    <row r="84" spans="2:17" x14ac:dyDescent="0.25">
      <c r="B84" s="506" t="s">
        <v>550</v>
      </c>
      <c r="C84" s="506"/>
      <c r="D84" s="506"/>
      <c r="E84" s="506"/>
      <c r="F84" s="506"/>
      <c r="G84" s="506"/>
      <c r="H84" s="506"/>
      <c r="I84" s="506"/>
      <c r="J84" s="506"/>
      <c r="K84" s="506"/>
      <c r="L84" s="506"/>
      <c r="M84" s="506"/>
      <c r="N84" s="506"/>
      <c r="O84" s="506"/>
      <c r="P84" s="506"/>
      <c r="Q84" s="506"/>
    </row>
    <row r="128" spans="2:17" x14ac:dyDescent="0.25">
      <c r="B128" s="506" t="s">
        <v>581</v>
      </c>
      <c r="C128" s="506"/>
      <c r="D128" s="506"/>
      <c r="E128" s="506"/>
      <c r="F128" s="506"/>
      <c r="G128" s="506"/>
      <c r="H128" s="506"/>
      <c r="I128" s="506"/>
      <c r="J128" s="506"/>
      <c r="K128" s="506"/>
      <c r="L128" s="506"/>
      <c r="M128" s="506"/>
      <c r="N128" s="506"/>
      <c r="O128" s="506"/>
      <c r="P128" s="506"/>
      <c r="Q128" s="506"/>
    </row>
    <row r="129" spans="2:8" ht="15.75" thickBot="1" x14ac:dyDescent="0.3"/>
    <row r="130" spans="2:8" ht="60.75" thickBot="1" x14ac:dyDescent="0.3">
      <c r="B130" s="53" t="str">
        <f>Costos!C6</f>
        <v>Año</v>
      </c>
      <c r="C130" s="52" t="str">
        <f>Costos!D57</f>
        <v>Costos de Producción (US$)</v>
      </c>
      <c r="D130" s="52" t="str">
        <f>Costos!E57</f>
        <v>Costos Admin (US$)</v>
      </c>
      <c r="E130" s="52" t="str">
        <f>Costos!F57</f>
        <v>Costos Fiscales (US$)</v>
      </c>
      <c r="F130" s="53" t="str">
        <f>Costos!G57</f>
        <v>Total Costos s/IRAE (US$)</v>
      </c>
      <c r="G130" s="52" t="str">
        <f>Costos!H57</f>
        <v>Producción (m3)</v>
      </c>
      <c r="H130" s="53" t="str">
        <f>Costos!I57</f>
        <v>Costo (US$/m3)</v>
      </c>
    </row>
    <row r="131" spans="2:8" x14ac:dyDescent="0.25">
      <c r="B131" s="115">
        <f>Costos!C7</f>
        <v>0</v>
      </c>
      <c r="C131" s="5">
        <f>Costos!D58</f>
        <v>0</v>
      </c>
      <c r="D131" s="5">
        <f>Costos!E58</f>
        <v>0</v>
      </c>
      <c r="E131" s="5">
        <f>Costos!F58</f>
        <v>11185.198972</v>
      </c>
      <c r="F131" s="117">
        <f>Costos!G58</f>
        <v>11185.198972</v>
      </c>
      <c r="G131" s="5">
        <f>Costos!H58</f>
        <v>0</v>
      </c>
      <c r="H131" s="534">
        <f>Costos!I58</f>
        <v>0</v>
      </c>
    </row>
    <row r="132" spans="2:8" x14ac:dyDescent="0.25">
      <c r="B132" s="115">
        <f>Costos!C8</f>
        <v>1</v>
      </c>
      <c r="C132" s="5">
        <f>Costos!D59</f>
        <v>6259104.2056894386</v>
      </c>
      <c r="D132" s="5">
        <f>Costos!E59</f>
        <v>826143.75</v>
      </c>
      <c r="E132" s="5">
        <f>Costos!F59</f>
        <v>265092.8280389292</v>
      </c>
      <c r="F132" s="117">
        <f>Costos!G59</f>
        <v>7350340.7837283676</v>
      </c>
      <c r="G132" s="5">
        <f>Costos!H59</f>
        <v>8000</v>
      </c>
      <c r="H132" s="534">
        <f>Costos!I59</f>
        <v>918.79259796604595</v>
      </c>
    </row>
    <row r="133" spans="2:8" x14ac:dyDescent="0.25">
      <c r="B133" s="115">
        <f>Costos!C9</f>
        <v>2</v>
      </c>
      <c r="C133" s="5">
        <f>Costos!D60</f>
        <v>6622948.7554945424</v>
      </c>
      <c r="D133" s="5">
        <f>Costos!E60</f>
        <v>826143.75</v>
      </c>
      <c r="E133" s="5">
        <f>Costos!F60</f>
        <v>240825.65272340053</v>
      </c>
      <c r="F133" s="117">
        <f>Costos!G60</f>
        <v>7689918.1582179433</v>
      </c>
      <c r="G133" s="5">
        <f>Costos!H60</f>
        <v>9000</v>
      </c>
      <c r="H133" s="534">
        <f>Costos!I60</f>
        <v>854.4353509131048</v>
      </c>
    </row>
    <row r="134" spans="2:8" x14ac:dyDescent="0.25">
      <c r="B134" s="115">
        <f>Costos!C10</f>
        <v>3</v>
      </c>
      <c r="C134" s="5">
        <f>Costos!D61</f>
        <v>6927143.9426863119</v>
      </c>
      <c r="D134" s="5">
        <f>Costos!E61</f>
        <v>826143.75</v>
      </c>
      <c r="E134" s="5">
        <f>Costos!F61</f>
        <v>214361.67038067192</v>
      </c>
      <c r="F134" s="117">
        <f>Costos!G61</f>
        <v>7967649.3630669834</v>
      </c>
      <c r="G134" s="5">
        <f>Costos!H61</f>
        <v>10000</v>
      </c>
      <c r="H134" s="534">
        <f>Costos!I61</f>
        <v>796.76493630669836</v>
      </c>
    </row>
    <row r="135" spans="2:8" x14ac:dyDescent="0.25">
      <c r="B135" s="115">
        <f>Costos!C11</f>
        <v>4</v>
      </c>
      <c r="C135" s="5">
        <f>Costos!D62</f>
        <v>7344214.5238780826</v>
      </c>
      <c r="D135" s="5">
        <f>Costos!E62</f>
        <v>826143.75</v>
      </c>
      <c r="E135" s="5">
        <f>Costos!F62</f>
        <v>192973.4540379433</v>
      </c>
      <c r="F135" s="117">
        <f>Costos!G62</f>
        <v>8363331.7279160256</v>
      </c>
      <c r="G135" s="5">
        <f>Costos!H62</f>
        <v>11000</v>
      </c>
      <c r="H135" s="534">
        <f>Costos!I62</f>
        <v>760.30288435600232</v>
      </c>
    </row>
    <row r="136" spans="2:8" x14ac:dyDescent="0.25">
      <c r="B136" s="115">
        <f>Costos!C12</f>
        <v>5</v>
      </c>
      <c r="C136" s="5">
        <f>Costos!D63</f>
        <v>7659171.6070250925</v>
      </c>
      <c r="D136" s="5">
        <f>Costos!E63</f>
        <v>826143.75</v>
      </c>
      <c r="E136" s="5">
        <f>Costos!F63</f>
        <v>169717.51388514385</v>
      </c>
      <c r="F136" s="117">
        <f>Costos!G63</f>
        <v>8655032.8709102366</v>
      </c>
      <c r="G136" s="5">
        <f>Costos!H63</f>
        <v>11000</v>
      </c>
      <c r="H136" s="534">
        <f>Costos!I63</f>
        <v>786.82117008274884</v>
      </c>
    </row>
    <row r="137" spans="2:8" x14ac:dyDescent="0.25">
      <c r="B137" s="115">
        <f>Costos!C13</f>
        <v>6</v>
      </c>
      <c r="C137" s="5">
        <f>Costos!D64</f>
        <v>6829025.1275501959</v>
      </c>
      <c r="D137" s="5">
        <f>Costos!E64</f>
        <v>826143.75</v>
      </c>
      <c r="E137" s="5">
        <f>Costos!F64</f>
        <v>143276.84370308663</v>
      </c>
      <c r="F137" s="117">
        <f>Costos!G64</f>
        <v>7798445.7212532824</v>
      </c>
      <c r="G137" s="5">
        <f>Costos!H64</f>
        <v>11000</v>
      </c>
      <c r="H137" s="534">
        <f>Costos!I64</f>
        <v>708.94961102302568</v>
      </c>
    </row>
    <row r="138" spans="2:8" x14ac:dyDescent="0.25">
      <c r="B138" s="115">
        <f>Costos!C14</f>
        <v>7</v>
      </c>
      <c r="C138" s="5">
        <f>Costos!D65</f>
        <v>7232056.7511552991</v>
      </c>
      <c r="D138" s="5">
        <f>Costos!E65</f>
        <v>826143.75</v>
      </c>
      <c r="E138" s="5">
        <f>Costos!F65</f>
        <v>136737.68010902943</v>
      </c>
      <c r="F138" s="117">
        <f>Costos!G65</f>
        <v>8194938.1812643288</v>
      </c>
      <c r="G138" s="5">
        <f>Costos!H65</f>
        <v>11000</v>
      </c>
      <c r="H138" s="534">
        <f>Costos!I65</f>
        <v>744.99438011493896</v>
      </c>
    </row>
    <row r="139" spans="2:8" x14ac:dyDescent="0.25">
      <c r="B139" s="115">
        <f>Costos!C15</f>
        <v>8</v>
      </c>
      <c r="C139" s="5">
        <f>Costos!D66</f>
        <v>7531251.9383470695</v>
      </c>
      <c r="D139" s="5">
        <f>Costos!E66</f>
        <v>826143.75</v>
      </c>
      <c r="E139" s="5">
        <f>Costos!F66</f>
        <v>126501.7094877722</v>
      </c>
      <c r="F139" s="117">
        <f>Costos!G66</f>
        <v>8483897.3978348412</v>
      </c>
      <c r="G139" s="5">
        <f>Costos!H66</f>
        <v>11000</v>
      </c>
      <c r="H139" s="534">
        <f>Costos!I66</f>
        <v>771.26339980316743</v>
      </c>
    </row>
    <row r="140" spans="2:8" x14ac:dyDescent="0.25">
      <c r="B140" s="115">
        <f>Costos!C16</f>
        <v>9</v>
      </c>
      <c r="C140" s="5">
        <f>Costos!D67</f>
        <v>7830447.125538839</v>
      </c>
      <c r="D140" s="5">
        <f>Costos!E67</f>
        <v>826143.75</v>
      </c>
      <c r="E140" s="5">
        <f>Costos!F67</f>
        <v>116265.73886651499</v>
      </c>
      <c r="F140" s="117">
        <f>Costos!G67</f>
        <v>8772856.6144053545</v>
      </c>
      <c r="G140" s="5">
        <f>Costos!H67</f>
        <v>11000</v>
      </c>
      <c r="H140" s="534">
        <f>Costos!I67</f>
        <v>797.5324194913959</v>
      </c>
    </row>
    <row r="141" spans="2:8" ht="15.75" thickBot="1" x14ac:dyDescent="0.3">
      <c r="B141" s="115">
        <f>Costos!C17</f>
        <v>10</v>
      </c>
      <c r="C141" s="5">
        <f>Costos!D68</f>
        <v>8129642.3127306104</v>
      </c>
      <c r="D141" s="5">
        <f>Costos!E68</f>
        <v>826143.75</v>
      </c>
      <c r="E141" s="5">
        <f>Costos!F68</f>
        <v>106029.76824525776</v>
      </c>
      <c r="F141" s="117">
        <f>Costos!G68</f>
        <v>9061815.8309758678</v>
      </c>
      <c r="G141" s="5">
        <f>Costos!H68</f>
        <v>11000</v>
      </c>
      <c r="H141" s="534">
        <f>Costos!I68</f>
        <v>823.80143917962437</v>
      </c>
    </row>
    <row r="142" spans="2:8" ht="15.75" thickBot="1" x14ac:dyDescent="0.3">
      <c r="B142" s="116" t="str">
        <f>Costos!C18</f>
        <v>Total</v>
      </c>
      <c r="C142" s="60">
        <f>Costos!D69</f>
        <v>72365006.290095493</v>
      </c>
      <c r="D142" s="60">
        <f>Costos!E69</f>
        <v>8261437.5</v>
      </c>
      <c r="E142" s="60">
        <f>Costos!F69</f>
        <v>1722968.0584497496</v>
      </c>
      <c r="F142" s="118">
        <f>Costos!G69</f>
        <v>82349411.848545223</v>
      </c>
      <c r="G142" s="60">
        <f>Costos!H69</f>
        <v>104000</v>
      </c>
      <c r="H142" s="535">
        <f>Costos!I69</f>
        <v>791.82126777447331</v>
      </c>
    </row>
    <row r="143" spans="2:8" ht="15.75" thickBot="1" x14ac:dyDescent="0.3"/>
    <row r="144" spans="2:8" ht="30.75" thickBot="1" x14ac:dyDescent="0.3">
      <c r="B144" s="51" t="str">
        <f>Costos!D106</f>
        <v>Ítem</v>
      </c>
      <c r="C144" s="53" t="str">
        <f>Costos!E106</f>
        <v>Costo Total (US$)</v>
      </c>
      <c r="D144" s="53" t="str">
        <f>Costos!F106</f>
        <v>Costo (US$/m3)</v>
      </c>
    </row>
    <row r="145" spans="2:5" x14ac:dyDescent="0.25">
      <c r="B145" s="36" t="str">
        <f>Costos!D107</f>
        <v>Mano de Obra Producción (US$)</v>
      </c>
      <c r="C145" s="124">
        <f>Costos!E107</f>
        <v>1355789.25</v>
      </c>
      <c r="D145" s="121">
        <f>Costos!F107</f>
        <v>123.25356818181818</v>
      </c>
      <c r="E145" s="523" t="s">
        <v>434</v>
      </c>
    </row>
    <row r="146" spans="2:5" x14ac:dyDescent="0.25">
      <c r="B146" s="35" t="str">
        <f>Costos!D108</f>
        <v>Amortizaciones (US$)</v>
      </c>
      <c r="C146" s="117">
        <f>Costos!E108</f>
        <v>1802586.3454704816</v>
      </c>
      <c r="D146" s="122">
        <f>Costos!F108</f>
        <v>163.87148595186196</v>
      </c>
      <c r="E146" s="524"/>
    </row>
    <row r="147" spans="2:5" x14ac:dyDescent="0.25">
      <c r="B147" s="35" t="str">
        <f>Costos!D109</f>
        <v>Mantenimiento (US$)</v>
      </c>
      <c r="C147" s="117">
        <f>Costos!E109</f>
        <v>1000000</v>
      </c>
      <c r="D147" s="122">
        <f>Costos!F109</f>
        <v>90.909090909090907</v>
      </c>
      <c r="E147" s="524"/>
    </row>
    <row r="148" spans="2:5" x14ac:dyDescent="0.25">
      <c r="B148" s="35" t="str">
        <f>Costos!D110</f>
        <v>Seguros (US$)</v>
      </c>
      <c r="C148" s="117">
        <f>Costos!E110</f>
        <v>170000</v>
      </c>
      <c r="D148" s="122">
        <f>Costos!F110</f>
        <v>15.454545454545455</v>
      </c>
      <c r="E148" s="524"/>
    </row>
    <row r="149" spans="2:5" x14ac:dyDescent="0.25">
      <c r="B149" s="35" t="str">
        <f>Costos!D111</f>
        <v>Gastos de Laboratorio (US$)</v>
      </c>
      <c r="C149" s="117">
        <f>Costos!E111</f>
        <v>120000</v>
      </c>
      <c r="D149" s="122">
        <f>Costos!F111</f>
        <v>10.909090909090908</v>
      </c>
      <c r="E149" s="524"/>
    </row>
    <row r="150" spans="2:5" x14ac:dyDescent="0.25">
      <c r="B150" s="35" t="str">
        <f>Costos!D112</f>
        <v>Patentes y Regalías (US$)</v>
      </c>
      <c r="C150" s="117">
        <f>Costos!E112</f>
        <v>20000</v>
      </c>
      <c r="D150" s="122">
        <f>Costos!F112</f>
        <v>1.8181818181818181</v>
      </c>
      <c r="E150" s="524"/>
    </row>
    <row r="151" spans="2:5" x14ac:dyDescent="0.25">
      <c r="B151" s="35" t="str">
        <f>Costos!D113</f>
        <v>Mano de Obra Admin (US$)</v>
      </c>
      <c r="C151" s="117">
        <f>Costos!E113</f>
        <v>376143.75</v>
      </c>
      <c r="D151" s="122">
        <f>Costos!F113</f>
        <v>34.194886363636364</v>
      </c>
      <c r="E151" s="524"/>
    </row>
    <row r="152" spans="2:5" x14ac:dyDescent="0.25">
      <c r="B152" s="35" t="str">
        <f>Costos!D114</f>
        <v>Gastos de Promoción (US$)</v>
      </c>
      <c r="C152" s="117">
        <f>Costos!E114</f>
        <v>50000</v>
      </c>
      <c r="D152" s="122">
        <f>Costos!F114</f>
        <v>4.5454545454545459</v>
      </c>
      <c r="E152" s="524"/>
    </row>
    <row r="153" spans="2:5" x14ac:dyDescent="0.25">
      <c r="B153" s="35" t="str">
        <f>Costos!D115</f>
        <v>Otros Costos (Overhead) (US$)</v>
      </c>
      <c r="C153" s="117">
        <f>Costos!E115</f>
        <v>400000</v>
      </c>
      <c r="D153" s="122">
        <f>Costos!F115</f>
        <v>36.363636363636367</v>
      </c>
      <c r="E153" s="524"/>
    </row>
    <row r="154" spans="2:5" x14ac:dyDescent="0.25">
      <c r="B154" s="35" t="str">
        <f>Costos!D116</f>
        <v>Tasas Municipales (US$)</v>
      </c>
      <c r="C154" s="117">
        <f>Costos!E116</f>
        <v>10000</v>
      </c>
      <c r="D154" s="122">
        <f>Costos!F116</f>
        <v>0.90909090909090906</v>
      </c>
      <c r="E154" s="524"/>
    </row>
    <row r="155" spans="2:5" x14ac:dyDescent="0.25">
      <c r="B155" s="35" t="str">
        <f>Costos!D117</f>
        <v>ICOSA (US$)</v>
      </c>
      <c r="C155" s="117">
        <f>Costos!E117</f>
        <v>592.59948599999996</v>
      </c>
      <c r="D155" s="122">
        <f>Costos!F117</f>
        <v>5.3872680545454542E-2</v>
      </c>
      <c r="E155" s="524"/>
    </row>
    <row r="156" spans="2:5" ht="15.75" thickBot="1" x14ac:dyDescent="0.3">
      <c r="B156" s="38" t="str">
        <f>Costos!D118</f>
        <v>Impuesto al Patrimonio (US$)</v>
      </c>
      <c r="C156" s="125">
        <f>Costos!E118</f>
        <v>159124.91439914386</v>
      </c>
      <c r="D156" s="123">
        <f>Costos!F118</f>
        <v>14.465901309013079</v>
      </c>
      <c r="E156" s="525"/>
    </row>
    <row r="157" spans="2:5" x14ac:dyDescent="0.25">
      <c r="B157" s="36" t="str">
        <f>Costos!D119</f>
        <v>Materias Primas (US$)</v>
      </c>
      <c r="C157" s="124">
        <f>Costos!E119</f>
        <v>2528882.6755796112</v>
      </c>
      <c r="D157" s="121">
        <f>Costos!F119</f>
        <v>229.89842505269192</v>
      </c>
      <c r="E157" s="507" t="s">
        <v>503</v>
      </c>
    </row>
    <row r="158" spans="2:5" x14ac:dyDescent="0.25">
      <c r="B158" s="35" t="str">
        <f>Costos!D120</f>
        <v>Materiales e Insumos (US$)</v>
      </c>
      <c r="C158" s="117">
        <f>Costos!E120</f>
        <v>4992</v>
      </c>
      <c r="D158" s="122">
        <f>Costos!F120</f>
        <v>0.45381818181818184</v>
      </c>
      <c r="E158" s="508"/>
    </row>
    <row r="159" spans="2:5" x14ac:dyDescent="0.25">
      <c r="B159" s="35" t="str">
        <f>Costos!D121</f>
        <v>Combustibles y lubricantes (US$)</v>
      </c>
      <c r="C159" s="117">
        <f>Costos!E121</f>
        <v>184400</v>
      </c>
      <c r="D159" s="122">
        <f>Costos!F121</f>
        <v>16.763636363636362</v>
      </c>
      <c r="E159" s="508"/>
    </row>
    <row r="160" spans="2:5" x14ac:dyDescent="0.25">
      <c r="B160" s="35" t="str">
        <f>Costos!D122</f>
        <v>Energía Eléctrica (US$)</v>
      </c>
      <c r="C160" s="117">
        <f>Costos!E122</f>
        <v>321798.83597499999</v>
      </c>
      <c r="D160" s="122">
        <f>Costos!F122</f>
        <v>29.254439634090907</v>
      </c>
      <c r="E160" s="508"/>
    </row>
    <row r="161" spans="2:17" x14ac:dyDescent="0.25">
      <c r="B161" s="35" t="str">
        <f>Costos!D123</f>
        <v>Agua (US$)</v>
      </c>
      <c r="C161" s="117">
        <f>Costos!E123</f>
        <v>95722.5</v>
      </c>
      <c r="D161" s="122">
        <f>Costos!F123</f>
        <v>8.7020454545454538</v>
      </c>
      <c r="E161" s="508"/>
    </row>
    <row r="162" spans="2:17" ht="15.75" thickBot="1" x14ac:dyDescent="0.3">
      <c r="B162" s="38" t="str">
        <f>Costos!D124</f>
        <v>Envases (US$)</v>
      </c>
      <c r="C162" s="125">
        <f>Costos!E124</f>
        <v>55000</v>
      </c>
      <c r="D162" s="123">
        <f>Costos!F124</f>
        <v>5</v>
      </c>
      <c r="E162" s="509"/>
    </row>
    <row r="163" spans="2:17" ht="15.75" thickBot="1" x14ac:dyDescent="0.3">
      <c r="C163" s="119">
        <f>Costos!E125</f>
        <v>8655032.8709102366</v>
      </c>
      <c r="D163" s="120">
        <f>Costos!F125</f>
        <v>786.82117008274872</v>
      </c>
    </row>
    <row r="165" spans="2:17" x14ac:dyDescent="0.25">
      <c r="B165" s="506" t="s">
        <v>582</v>
      </c>
      <c r="C165" s="506"/>
      <c r="D165" s="506"/>
      <c r="E165" s="506"/>
      <c r="F165" s="506"/>
      <c r="G165" s="506"/>
      <c r="H165" s="506"/>
      <c r="I165" s="506"/>
      <c r="J165" s="506"/>
      <c r="K165" s="506"/>
      <c r="L165" s="506"/>
      <c r="M165" s="506"/>
      <c r="N165" s="506"/>
      <c r="O165" s="506"/>
      <c r="P165" s="506"/>
      <c r="Q165" s="506"/>
    </row>
    <row r="166" spans="2:17" ht="15.75" thickBot="1" x14ac:dyDescent="0.3"/>
    <row r="167" spans="2:17" ht="60.75" thickBot="1" x14ac:dyDescent="0.3">
      <c r="B167" s="53" t="str">
        <f>Costos!AC57</f>
        <v>Año</v>
      </c>
      <c r="C167" s="52" t="str">
        <f>Costos!AD57</f>
        <v>Costos de Producción (US$)</v>
      </c>
      <c r="D167" s="52" t="str">
        <f>Costos!AE57</f>
        <v>Costos Admin (US$)</v>
      </c>
      <c r="E167" s="52" t="str">
        <f>Costos!AF57</f>
        <v>Costos Fiscales (US$)</v>
      </c>
      <c r="F167" s="53" t="str">
        <f>Costos!AG57</f>
        <v>Total Costos s/IRAE (US$)</v>
      </c>
      <c r="G167" s="52" t="str">
        <f>Costos!AH57</f>
        <v>Producción (m3)</v>
      </c>
      <c r="H167" s="53" t="str">
        <f>Costos!AI57</f>
        <v>Costo (US$/m3)</v>
      </c>
    </row>
    <row r="168" spans="2:17" x14ac:dyDescent="0.25">
      <c r="B168" s="115">
        <f>Costos!AC58</f>
        <v>0</v>
      </c>
      <c r="C168" s="5">
        <f>Costos!AD58</f>
        <v>0</v>
      </c>
      <c r="D168" s="5">
        <f>Costos!AE58</f>
        <v>0</v>
      </c>
      <c r="E168" s="5">
        <f>Costos!AF58</f>
        <v>11185.198972</v>
      </c>
      <c r="F168" s="117">
        <f>Costos!AG58</f>
        <v>11185.198972</v>
      </c>
      <c r="G168" s="5">
        <f>Costos!AH58</f>
        <v>0</v>
      </c>
      <c r="H168" s="534">
        <f>Costos!AI58</f>
        <v>0</v>
      </c>
    </row>
    <row r="169" spans="2:17" x14ac:dyDescent="0.25">
      <c r="B169" s="115">
        <f>Costos!AC59</f>
        <v>1</v>
      </c>
      <c r="C169" s="5">
        <f>Costos!AD59</f>
        <v>6404866.3620894384</v>
      </c>
      <c r="D169" s="5">
        <f>Costos!AE59</f>
        <v>1450838.706</v>
      </c>
      <c r="E169" s="5">
        <f>Costos!AF59</f>
        <v>119851.2507689292</v>
      </c>
      <c r="F169" s="117">
        <f>Costos!AG59</f>
        <v>7975556.3188583674</v>
      </c>
      <c r="G169" s="5">
        <f>Costos!AH59</f>
        <v>8000</v>
      </c>
      <c r="H169" s="534">
        <f>Costos!AI59</f>
        <v>996.94453985729592</v>
      </c>
    </row>
    <row r="170" spans="2:17" x14ac:dyDescent="0.25">
      <c r="B170" s="115">
        <f>Costos!AC60</f>
        <v>2</v>
      </c>
      <c r="C170" s="5">
        <f>Costos!AD60</f>
        <v>6768710.9118945422</v>
      </c>
      <c r="D170" s="5">
        <f>Costos!AE60</f>
        <v>1450838.706</v>
      </c>
      <c r="E170" s="5">
        <f>Costos!AF60</f>
        <v>93397.643107400567</v>
      </c>
      <c r="F170" s="117">
        <f>Costos!AG60</f>
        <v>8312947.2610019427</v>
      </c>
      <c r="G170" s="5">
        <f>Costos!AH60</f>
        <v>9000</v>
      </c>
      <c r="H170" s="534">
        <f>Costos!AI60</f>
        <v>923.66080677799368</v>
      </c>
    </row>
    <row r="171" spans="2:17" x14ac:dyDescent="0.25">
      <c r="B171" s="115">
        <f>Costos!AC61</f>
        <v>3</v>
      </c>
      <c r="C171" s="5">
        <f>Costos!AD61</f>
        <v>7072906.0990863126</v>
      </c>
      <c r="D171" s="5">
        <f>Costos!AE61</f>
        <v>1450838.706</v>
      </c>
      <c r="E171" s="5">
        <f>Costos!AF61</f>
        <v>64747.228418671963</v>
      </c>
      <c r="F171" s="117">
        <f>Costos!AG61</f>
        <v>8588492.0335049853</v>
      </c>
      <c r="G171" s="5">
        <f>Costos!AH61</f>
        <v>10000</v>
      </c>
      <c r="H171" s="534">
        <f>Costos!AI61</f>
        <v>858.84920335049856</v>
      </c>
    </row>
    <row r="172" spans="2:17" x14ac:dyDescent="0.25">
      <c r="B172" s="115">
        <f>Costos!AC62</f>
        <v>4</v>
      </c>
      <c r="C172" s="5">
        <f>Costos!AD62</f>
        <v>7489976.6802780833</v>
      </c>
      <c r="D172" s="5">
        <f>Costos!AE62</f>
        <v>1372751.8365</v>
      </c>
      <c r="E172" s="5">
        <f>Costos!AF62</f>
        <v>60694.297104943333</v>
      </c>
      <c r="F172" s="117">
        <f>Costos!AG62</f>
        <v>8923422.8138830271</v>
      </c>
      <c r="G172" s="5">
        <f>Costos!AH62</f>
        <v>11000</v>
      </c>
      <c r="H172" s="534">
        <f>Costos!AI62</f>
        <v>811.22025580754791</v>
      </c>
    </row>
    <row r="173" spans="2:17" x14ac:dyDescent="0.25">
      <c r="B173" s="115">
        <f>Costos!AC63</f>
        <v>5</v>
      </c>
      <c r="C173" s="5">
        <f>Costos!AD63</f>
        <v>7804933.7634250931</v>
      </c>
      <c r="D173" s="5">
        <f>Costos!AE63</f>
        <v>1294664.9669999999</v>
      </c>
      <c r="E173" s="5">
        <f>Costos!AF63</f>
        <v>54773.641981143883</v>
      </c>
      <c r="F173" s="117">
        <f>Costos!AG63</f>
        <v>9154372.3724062368</v>
      </c>
      <c r="G173" s="5">
        <f>Costos!AH63</f>
        <v>11000</v>
      </c>
      <c r="H173" s="534">
        <f>Costos!AI63</f>
        <v>832.21567021874876</v>
      </c>
    </row>
    <row r="174" spans="2:17" x14ac:dyDescent="0.25">
      <c r="B174" s="115">
        <f>Costos!AC64</f>
        <v>6</v>
      </c>
      <c r="C174" s="5">
        <f>Costos!AD64</f>
        <v>6829025.1275501959</v>
      </c>
      <c r="D174" s="5">
        <f>Costos!AE64</f>
        <v>1216578.0974999999</v>
      </c>
      <c r="E174" s="5">
        <f>Costos!AF64</f>
        <v>45668.256828086662</v>
      </c>
      <c r="F174" s="117">
        <f>Costos!AG64</f>
        <v>8091271.4818782825</v>
      </c>
      <c r="G174" s="5">
        <f>Costos!AH64</f>
        <v>11000</v>
      </c>
      <c r="H174" s="534">
        <f>Costos!AI64</f>
        <v>735.57013471620746</v>
      </c>
    </row>
    <row r="175" spans="2:17" x14ac:dyDescent="0.25">
      <c r="B175" s="115">
        <f>Costos!AC65</f>
        <v>7</v>
      </c>
      <c r="C175" s="5">
        <f>Costos!AD65</f>
        <v>7232056.7511552991</v>
      </c>
      <c r="D175" s="5">
        <f>Costos!AE65</f>
        <v>1138491.2280000001</v>
      </c>
      <c r="E175" s="5">
        <f>Costos!AF65</f>
        <v>58650.81060902946</v>
      </c>
      <c r="F175" s="117">
        <f>Costos!AG65</f>
        <v>8429198.7897643279</v>
      </c>
      <c r="G175" s="5">
        <f>Costos!AH65</f>
        <v>11000</v>
      </c>
      <c r="H175" s="534">
        <f>Costos!AI65</f>
        <v>766.29079906948436</v>
      </c>
    </row>
    <row r="176" spans="2:17" x14ac:dyDescent="0.25">
      <c r="B176" s="115">
        <f>Costos!AC66</f>
        <v>8</v>
      </c>
      <c r="C176" s="5">
        <f>Costos!AD66</f>
        <v>7531251.9383470695</v>
      </c>
      <c r="D176" s="5">
        <f>Costos!AE66</f>
        <v>1060404.3585000001</v>
      </c>
      <c r="E176" s="5">
        <f>Costos!AF66</f>
        <v>67936.557362772248</v>
      </c>
      <c r="F176" s="117">
        <f>Costos!AG66</f>
        <v>8659592.8542098422</v>
      </c>
      <c r="G176" s="5">
        <f>Costos!AH66</f>
        <v>11000</v>
      </c>
      <c r="H176" s="534">
        <f>Costos!AI66</f>
        <v>787.23571401907657</v>
      </c>
    </row>
    <row r="177" spans="2:8" x14ac:dyDescent="0.25">
      <c r="B177" s="115">
        <f>Costos!AC67</f>
        <v>9</v>
      </c>
      <c r="C177" s="5">
        <f>Costos!AD67</f>
        <v>7830447.125538839</v>
      </c>
      <c r="D177" s="5">
        <f>Costos!AE67</f>
        <v>982317.48899999994</v>
      </c>
      <c r="E177" s="5">
        <f>Costos!AF67</f>
        <v>77222.304116515035</v>
      </c>
      <c r="F177" s="117">
        <f>Costos!AG67</f>
        <v>8889986.9186553545</v>
      </c>
      <c r="G177" s="5">
        <f>Costos!AH67</f>
        <v>11000</v>
      </c>
      <c r="H177" s="534">
        <f>Costos!AI67</f>
        <v>808.18062896866854</v>
      </c>
    </row>
    <row r="178" spans="2:8" ht="15.75" thickBot="1" x14ac:dyDescent="0.3">
      <c r="B178" s="115">
        <f>Costos!AC68</f>
        <v>10</v>
      </c>
      <c r="C178" s="5">
        <f>Costos!AD68</f>
        <v>8129642.3127306104</v>
      </c>
      <c r="D178" s="5">
        <f>Costos!AE68</f>
        <v>904230.61950000003</v>
      </c>
      <c r="E178" s="5">
        <f>Costos!AF68</f>
        <v>86508.050870257808</v>
      </c>
      <c r="F178" s="117">
        <f>Costos!AG68</f>
        <v>9120380.9831008688</v>
      </c>
      <c r="G178" s="5">
        <f>Costos!AH68</f>
        <v>11000</v>
      </c>
      <c r="H178" s="534">
        <f>Costos!AI68</f>
        <v>829.12554391826075</v>
      </c>
    </row>
    <row r="179" spans="2:8" ht="15.75" thickBot="1" x14ac:dyDescent="0.3">
      <c r="B179" s="116" t="str">
        <f>Costos!AC69</f>
        <v>Total</v>
      </c>
      <c r="C179" s="60">
        <f>Costos!AD69</f>
        <v>73093817.072095498</v>
      </c>
      <c r="D179" s="60">
        <f>Costos!AE69</f>
        <v>12321954.714000002</v>
      </c>
      <c r="E179" s="60">
        <f>Costos!AF69</f>
        <v>740635.24013975018</v>
      </c>
      <c r="F179" s="118">
        <f>Costos!AG69</f>
        <v>86156407.026235223</v>
      </c>
      <c r="G179" s="60">
        <f>Costos!AH69</f>
        <v>104000</v>
      </c>
      <c r="H179" s="535">
        <f>Costos!AI69</f>
        <v>828.42699063687712</v>
      </c>
    </row>
    <row r="180" spans="2:8" ht="15.75" thickBot="1" x14ac:dyDescent="0.3"/>
    <row r="181" spans="2:8" ht="30.75" thickBot="1" x14ac:dyDescent="0.3">
      <c r="B181" s="51" t="str">
        <f>Costos!AD106</f>
        <v>Ítem</v>
      </c>
      <c r="C181" s="53" t="str">
        <f>Costos!AE106</f>
        <v>Costo Total (US$)</v>
      </c>
      <c r="D181" s="53" t="str">
        <f>Costos!AF106</f>
        <v>Costo (US$/m3)</v>
      </c>
    </row>
    <row r="182" spans="2:8" x14ac:dyDescent="0.25">
      <c r="B182" s="36" t="str">
        <f>Costos!AD107</f>
        <v>Mano de Obra Producción (US$)</v>
      </c>
      <c r="C182" s="124">
        <f>Costos!AE107</f>
        <v>1355789.25</v>
      </c>
      <c r="D182" s="121">
        <f>Costos!AF107</f>
        <v>123.25356818181818</v>
      </c>
      <c r="E182" s="517" t="s">
        <v>434</v>
      </c>
    </row>
    <row r="183" spans="2:8" x14ac:dyDescent="0.25">
      <c r="B183" s="35" t="str">
        <f>Costos!AD108</f>
        <v>Amortizaciones (US$)</v>
      </c>
      <c r="C183" s="117">
        <f>Costos!AE108</f>
        <v>1948348.5018704818</v>
      </c>
      <c r="D183" s="122">
        <f>Costos!AF108</f>
        <v>177.12259107913471</v>
      </c>
      <c r="E183" s="518"/>
    </row>
    <row r="184" spans="2:8" x14ac:dyDescent="0.25">
      <c r="B184" s="35" t="str">
        <f>Costos!AD109</f>
        <v>Mantenimiento (US$)</v>
      </c>
      <c r="C184" s="117">
        <f>Costos!AE109</f>
        <v>1000000</v>
      </c>
      <c r="D184" s="122">
        <f>Costos!AF109</f>
        <v>90.909090909090907</v>
      </c>
      <c r="E184" s="518"/>
    </row>
    <row r="185" spans="2:8" x14ac:dyDescent="0.25">
      <c r="B185" s="35" t="str">
        <f>Costos!AD110</f>
        <v>Seguros (US$)</v>
      </c>
      <c r="C185" s="117">
        <f>Costos!AE110</f>
        <v>170000</v>
      </c>
      <c r="D185" s="122">
        <f>Costos!AF110</f>
        <v>15.454545454545455</v>
      </c>
      <c r="E185" s="518"/>
    </row>
    <row r="186" spans="2:8" x14ac:dyDescent="0.25">
      <c r="B186" s="35" t="str">
        <f>Costos!AD111</f>
        <v>Gastos de Laboratorio (US$)</v>
      </c>
      <c r="C186" s="117">
        <f>Costos!AE111</f>
        <v>120000</v>
      </c>
      <c r="D186" s="122">
        <f>Costos!AF111</f>
        <v>10.909090909090908</v>
      </c>
      <c r="E186" s="518"/>
    </row>
    <row r="187" spans="2:8" x14ac:dyDescent="0.25">
      <c r="B187" s="35" t="str">
        <f>Costos!AD112</f>
        <v>Patentes y Regalías (US$)</v>
      </c>
      <c r="C187" s="117">
        <f>Costos!AE112</f>
        <v>20000</v>
      </c>
      <c r="D187" s="122">
        <f>Costos!AF112</f>
        <v>1.8181818181818181</v>
      </c>
      <c r="E187" s="518"/>
    </row>
    <row r="188" spans="2:8" x14ac:dyDescent="0.25">
      <c r="B188" s="35" t="str">
        <f>Costos!AD113</f>
        <v>Mano de Obra Admin (US$)</v>
      </c>
      <c r="C188" s="117">
        <f>Costos!AE113</f>
        <v>376143.75</v>
      </c>
      <c r="D188" s="122">
        <f>Costos!AF113</f>
        <v>34.194886363636364</v>
      </c>
      <c r="E188" s="518"/>
    </row>
    <row r="189" spans="2:8" x14ac:dyDescent="0.25">
      <c r="B189" s="35" t="str">
        <f>Costos!AD114</f>
        <v>Gastos de Promoción (US$)</v>
      </c>
      <c r="C189" s="117">
        <f>Costos!AE114</f>
        <v>50000</v>
      </c>
      <c r="D189" s="122">
        <f>Costos!AF114</f>
        <v>4.5454545454545459</v>
      </c>
      <c r="E189" s="518"/>
    </row>
    <row r="190" spans="2:8" x14ac:dyDescent="0.25">
      <c r="B190" s="35" t="str">
        <f>Costos!AD115</f>
        <v>Otros Costos (Overhead) (US$)</v>
      </c>
      <c r="C190" s="117">
        <f>Costos!AE115</f>
        <v>400000</v>
      </c>
      <c r="D190" s="122">
        <f>Costos!AF115</f>
        <v>36.363636363636367</v>
      </c>
      <c r="E190" s="518"/>
    </row>
    <row r="191" spans="2:8" x14ac:dyDescent="0.25">
      <c r="B191" s="35" t="str">
        <f>Costos!AD116</f>
        <v>Tasas Municipales (US$)</v>
      </c>
      <c r="C191" s="117">
        <f>Costos!AE116</f>
        <v>10000</v>
      </c>
      <c r="D191" s="122">
        <f>Costos!AF116</f>
        <v>0.90909090909090906</v>
      </c>
      <c r="E191" s="518"/>
    </row>
    <row r="192" spans="2:8" x14ac:dyDescent="0.25">
      <c r="B192" s="35" t="str">
        <f>Costos!AD117</f>
        <v>ICOSA (US$)</v>
      </c>
      <c r="C192" s="117">
        <f>Costos!AE117</f>
        <v>592.59948599999996</v>
      </c>
      <c r="D192" s="122">
        <f>Costos!AF117</f>
        <v>5.3872680545454542E-2</v>
      </c>
      <c r="E192" s="518"/>
    </row>
    <row r="193" spans="2:17" x14ac:dyDescent="0.25">
      <c r="B193" s="35" t="str">
        <f>Costos!AD118</f>
        <v>Impuesto al Patrimonio (US$)</v>
      </c>
      <c r="C193" s="117">
        <f>Costos!AE118</f>
        <v>44181.042495143884</v>
      </c>
      <c r="D193" s="122">
        <f>Costos!AF118</f>
        <v>4.0164584086494441</v>
      </c>
      <c r="E193" s="518"/>
    </row>
    <row r="194" spans="2:17" ht="15" customHeight="1" thickBot="1" x14ac:dyDescent="0.3">
      <c r="B194" s="38" t="str">
        <f>Costos!AD119</f>
        <v>Costos Financieros (US$)</v>
      </c>
      <c r="C194" s="125">
        <f>Costos!AE119</f>
        <v>468521.217</v>
      </c>
      <c r="D194" s="123">
        <f>Costos!AF119</f>
        <v>42.59283790909091</v>
      </c>
      <c r="E194" s="519"/>
    </row>
    <row r="195" spans="2:17" ht="15" customHeight="1" x14ac:dyDescent="0.25">
      <c r="B195" s="36" t="str">
        <f>Costos!AD120</f>
        <v>Materias Primas (US$)</v>
      </c>
      <c r="C195" s="124">
        <f>Costos!AE120</f>
        <v>2528882.6755796112</v>
      </c>
      <c r="D195" s="121">
        <f>Costos!AF120</f>
        <v>229.89842505269192</v>
      </c>
      <c r="E195" s="520" t="s">
        <v>503</v>
      </c>
    </row>
    <row r="196" spans="2:17" x14ac:dyDescent="0.25">
      <c r="B196" s="35" t="str">
        <f>Costos!AD121</f>
        <v>Materiales e Insumos (US$)</v>
      </c>
      <c r="C196" s="117">
        <f>Costos!AE121</f>
        <v>4992</v>
      </c>
      <c r="D196" s="122">
        <f>Costos!AF121</f>
        <v>0.45381818181818184</v>
      </c>
      <c r="E196" s="521"/>
    </row>
    <row r="197" spans="2:17" x14ac:dyDescent="0.25">
      <c r="B197" s="35" t="str">
        <f>Costos!AD122</f>
        <v>Combustibles y lubricantes (US$)</v>
      </c>
      <c r="C197" s="117">
        <f>Costos!AE122</f>
        <v>184400</v>
      </c>
      <c r="D197" s="122">
        <f>Costos!AF122</f>
        <v>16.763636363636362</v>
      </c>
      <c r="E197" s="521"/>
    </row>
    <row r="198" spans="2:17" x14ac:dyDescent="0.25">
      <c r="B198" s="35" t="str">
        <f>Costos!AD123</f>
        <v>Energía Eléctrica (US$)</v>
      </c>
      <c r="C198" s="117">
        <f>Costos!AE123</f>
        <v>321798.83597499999</v>
      </c>
      <c r="D198" s="122">
        <f>Costos!AF123</f>
        <v>29.254439634090907</v>
      </c>
      <c r="E198" s="521"/>
    </row>
    <row r="199" spans="2:17" x14ac:dyDescent="0.25">
      <c r="B199" s="35" t="str">
        <f>Costos!AD124</f>
        <v>Agua (US$)</v>
      </c>
      <c r="C199" s="117">
        <f>Costos!AE124</f>
        <v>95722.5</v>
      </c>
      <c r="D199" s="122">
        <f>Costos!AF124</f>
        <v>8.7020454545454538</v>
      </c>
      <c r="E199" s="521"/>
    </row>
    <row r="200" spans="2:17" ht="15.75" thickBot="1" x14ac:dyDescent="0.3">
      <c r="B200" s="38" t="str">
        <f>Costos!AD125</f>
        <v>Envases (US$)</v>
      </c>
      <c r="C200" s="125">
        <f>Costos!AE125</f>
        <v>55000</v>
      </c>
      <c r="D200" s="126">
        <f>Costos!AF125</f>
        <v>5</v>
      </c>
      <c r="E200" s="522"/>
    </row>
    <row r="201" spans="2:17" ht="15.75" thickBot="1" x14ac:dyDescent="0.3">
      <c r="C201" s="119">
        <f>Costos!AE126</f>
        <v>9154372.3724062368</v>
      </c>
      <c r="D201" s="120">
        <f>Costos!AF126</f>
        <v>832.21567021874876</v>
      </c>
    </row>
    <row r="203" spans="2:17" x14ac:dyDescent="0.25">
      <c r="B203" s="506" t="s">
        <v>747</v>
      </c>
      <c r="C203" s="506"/>
      <c r="D203" s="506"/>
      <c r="E203" s="506"/>
      <c r="F203" s="506"/>
      <c r="G203" s="506"/>
      <c r="H203" s="506"/>
      <c r="I203" s="506"/>
      <c r="J203" s="506"/>
      <c r="K203" s="506"/>
      <c r="L203" s="506"/>
      <c r="M203" s="506"/>
      <c r="N203" s="506"/>
      <c r="O203" s="506"/>
      <c r="P203" s="506"/>
      <c r="Q203" s="506"/>
    </row>
    <row r="205" spans="2:17" ht="15.75" thickBot="1" x14ac:dyDescent="0.3">
      <c r="B205" t="s">
        <v>540</v>
      </c>
    </row>
    <row r="206" spans="2:17" ht="15.75" thickBot="1" x14ac:dyDescent="0.3">
      <c r="B206" s="3"/>
      <c r="C206" s="157" t="s">
        <v>23</v>
      </c>
      <c r="D206" s="158" t="s">
        <v>399</v>
      </c>
      <c r="E206" s="158" t="s">
        <v>400</v>
      </c>
      <c r="F206" s="158" t="s">
        <v>401</v>
      </c>
      <c r="G206" s="158" t="s">
        <v>403</v>
      </c>
      <c r="H206" s="158" t="s">
        <v>402</v>
      </c>
      <c r="I206" s="158" t="s">
        <v>404</v>
      </c>
      <c r="J206" s="158" t="s">
        <v>405</v>
      </c>
      <c r="K206" s="158" t="s">
        <v>406</v>
      </c>
      <c r="L206" s="158" t="s">
        <v>407</v>
      </c>
      <c r="M206" s="158" t="s">
        <v>408</v>
      </c>
      <c r="N206" s="116" t="s">
        <v>169</v>
      </c>
    </row>
    <row r="207" spans="2:17" x14ac:dyDescent="0.25">
      <c r="B207" s="469" t="s">
        <v>748</v>
      </c>
      <c r="C207" s="471">
        <f>'A Económico'!C5</f>
        <v>0</v>
      </c>
      <c r="D207" s="219">
        <f>'A Económico'!C6</f>
        <v>9000000</v>
      </c>
      <c r="E207" s="219">
        <f>'A Económico'!C7</f>
        <v>10125000</v>
      </c>
      <c r="F207" s="219">
        <f>'A Económico'!C8</f>
        <v>11250000</v>
      </c>
      <c r="G207" s="219">
        <f>'A Económico'!C9</f>
        <v>12375000</v>
      </c>
      <c r="H207" s="219">
        <f>'A Económico'!C10</f>
        <v>12375000</v>
      </c>
      <c r="I207" s="219">
        <f>'A Económico'!C11</f>
        <v>12375000</v>
      </c>
      <c r="J207" s="219">
        <f>'A Económico'!C12</f>
        <v>12375000</v>
      </c>
      <c r="K207" s="219">
        <f>'A Económico'!C13</f>
        <v>12375000</v>
      </c>
      <c r="L207" s="219">
        <f>'A Económico'!C14</f>
        <v>12375000</v>
      </c>
      <c r="M207" s="219">
        <f>'A Económico'!C15</f>
        <v>12375000</v>
      </c>
      <c r="N207" s="473">
        <f>SUM(C207:M207)</f>
        <v>117000000</v>
      </c>
    </row>
    <row r="208" spans="2:17" x14ac:dyDescent="0.25">
      <c r="B208" s="37" t="s">
        <v>749</v>
      </c>
      <c r="C208" s="134">
        <f>Costos!P7-Costos!J7</f>
        <v>0</v>
      </c>
      <c r="D208" s="5">
        <f>Costos!P8-Costos!J8</f>
        <v>4503992.0787875317</v>
      </c>
      <c r="E208" s="5">
        <f>Costos!P9-Costos!J9</f>
        <v>4858683.2659793012</v>
      </c>
      <c r="F208" s="5">
        <f>Costos!P10-Costos!J10</f>
        <v>5162878.4531710707</v>
      </c>
      <c r="G208" s="5">
        <f>Costos!P11-Costos!J11</f>
        <v>5557390.0743628424</v>
      </c>
      <c r="H208" s="5">
        <f>Costos!P12-Costos!J12</f>
        <v>5856585.2615546109</v>
      </c>
      <c r="I208" s="5">
        <f>Costos!P13-Costos!J13</f>
        <v>6155780.4487463813</v>
      </c>
      <c r="J208" s="5">
        <f>Costos!P14-Costos!J14</f>
        <v>6549658.7097381512</v>
      </c>
      <c r="K208" s="5">
        <f>Costos!P15-Costos!J15</f>
        <v>6848853.8969299216</v>
      </c>
      <c r="L208" s="5">
        <f>Costos!P16-Costos!J16</f>
        <v>7148049.0841216911</v>
      </c>
      <c r="M208" s="5">
        <f>Costos!P17-Costos!J17</f>
        <v>7447244.2713134624</v>
      </c>
      <c r="N208" s="117">
        <f t="shared" ref="N208:N215" si="1">SUM(C208:M208)</f>
        <v>60089115.544704959</v>
      </c>
    </row>
    <row r="209" spans="2:14" x14ac:dyDescent="0.25">
      <c r="B209" s="470" t="s">
        <v>750</v>
      </c>
      <c r="C209" s="472">
        <f>C207-C208</f>
        <v>0</v>
      </c>
      <c r="D209" s="7">
        <f t="shared" ref="D209:M209" si="2">D207-D208</f>
        <v>4496007.9212124683</v>
      </c>
      <c r="E209" s="7">
        <f t="shared" si="2"/>
        <v>5266316.7340206988</v>
      </c>
      <c r="F209" s="7">
        <f t="shared" si="2"/>
        <v>6087121.5468289293</v>
      </c>
      <c r="G209" s="7">
        <f t="shared" si="2"/>
        <v>6817609.9256371576</v>
      </c>
      <c r="H209" s="7">
        <f t="shared" si="2"/>
        <v>6518414.7384453891</v>
      </c>
      <c r="I209" s="7">
        <f t="shared" si="2"/>
        <v>6219219.5512536187</v>
      </c>
      <c r="J209" s="7">
        <f t="shared" si="2"/>
        <v>5825341.2902618488</v>
      </c>
      <c r="K209" s="7">
        <f t="shared" si="2"/>
        <v>5526146.1030700784</v>
      </c>
      <c r="L209" s="7">
        <f t="shared" si="2"/>
        <v>5226950.9158783089</v>
      </c>
      <c r="M209" s="7">
        <f t="shared" si="2"/>
        <v>4927755.7286865376</v>
      </c>
      <c r="N209" s="117">
        <f t="shared" si="1"/>
        <v>56910884.455295041</v>
      </c>
    </row>
    <row r="210" spans="2:14" x14ac:dyDescent="0.25">
      <c r="B210" s="37" t="s">
        <v>751</v>
      </c>
      <c r="C210" s="134">
        <f>D131</f>
        <v>0</v>
      </c>
      <c r="D210" s="5">
        <f>D132</f>
        <v>826143.75</v>
      </c>
      <c r="E210" s="5">
        <f>D133</f>
        <v>826143.75</v>
      </c>
      <c r="F210" s="5">
        <f>D134</f>
        <v>826143.75</v>
      </c>
      <c r="G210" s="5">
        <f>D135</f>
        <v>826143.75</v>
      </c>
      <c r="H210" s="5">
        <f>D136</f>
        <v>826143.75</v>
      </c>
      <c r="I210" s="5">
        <f>D137</f>
        <v>826143.75</v>
      </c>
      <c r="J210" s="5">
        <f>D138</f>
        <v>826143.75</v>
      </c>
      <c r="K210" s="5">
        <f>D139</f>
        <v>826143.75</v>
      </c>
      <c r="L210" s="5">
        <f>D140</f>
        <v>826143.75</v>
      </c>
      <c r="M210" s="5">
        <f>D141</f>
        <v>826143.75</v>
      </c>
      <c r="N210" s="117">
        <f t="shared" si="1"/>
        <v>8261437.5</v>
      </c>
    </row>
    <row r="211" spans="2:14" x14ac:dyDescent="0.25">
      <c r="B211" s="37" t="s">
        <v>752</v>
      </c>
      <c r="C211" s="134">
        <f>Costos!J7</f>
        <v>0</v>
      </c>
      <c r="D211" s="5">
        <f>Costos!J8</f>
        <v>1755112.1269019074</v>
      </c>
      <c r="E211" s="5">
        <f>Costos!J9</f>
        <v>1764265.4895152408</v>
      </c>
      <c r="F211" s="5">
        <f>Costos!J10</f>
        <v>1764265.4895152408</v>
      </c>
      <c r="G211" s="5">
        <f>Costos!J11</f>
        <v>1786824.4495152407</v>
      </c>
      <c r="H211" s="5">
        <f>Costos!J12</f>
        <v>1802586.3454704816</v>
      </c>
      <c r="I211" s="5">
        <f>Costos!J13</f>
        <v>673244.67880381492</v>
      </c>
      <c r="J211" s="5">
        <f>Costos!J14</f>
        <v>682398.0414171482</v>
      </c>
      <c r="K211" s="5">
        <f>Costos!J15</f>
        <v>682398.0414171482</v>
      </c>
      <c r="L211" s="5">
        <f>Costos!J16</f>
        <v>682398.0414171482</v>
      </c>
      <c r="M211" s="5">
        <f>Costos!J17</f>
        <v>682398.0414171482</v>
      </c>
      <c r="N211" s="117">
        <f t="shared" si="1"/>
        <v>12275890.745390518</v>
      </c>
    </row>
    <row r="212" spans="2:14" x14ac:dyDescent="0.25">
      <c r="B212" s="470" t="s">
        <v>753</v>
      </c>
      <c r="C212" s="472">
        <f>C209-C210-C211</f>
        <v>0</v>
      </c>
      <c r="D212" s="7">
        <f t="shared" ref="D212:M212" si="3">D209-D210-D211</f>
        <v>1914752.0443105609</v>
      </c>
      <c r="E212" s="7">
        <f t="shared" si="3"/>
        <v>2675907.494505458</v>
      </c>
      <c r="F212" s="7">
        <f t="shared" si="3"/>
        <v>3496712.3073136886</v>
      </c>
      <c r="G212" s="7">
        <f t="shared" si="3"/>
        <v>4204641.7261219174</v>
      </c>
      <c r="H212" s="7">
        <f t="shared" si="3"/>
        <v>3889684.6429749075</v>
      </c>
      <c r="I212" s="7">
        <f t="shared" si="3"/>
        <v>4719831.1224498041</v>
      </c>
      <c r="J212" s="7">
        <f t="shared" si="3"/>
        <v>4316799.4988447009</v>
      </c>
      <c r="K212" s="7">
        <f t="shared" si="3"/>
        <v>4017604.3116529305</v>
      </c>
      <c r="L212" s="7">
        <f t="shared" si="3"/>
        <v>3718409.124461161</v>
      </c>
      <c r="M212" s="7">
        <f t="shared" si="3"/>
        <v>3419213.9372693896</v>
      </c>
      <c r="N212" s="473">
        <f t="shared" si="1"/>
        <v>36373556.209904522</v>
      </c>
    </row>
    <row r="213" spans="2:14" x14ac:dyDescent="0.25">
      <c r="B213" s="37" t="s">
        <v>754</v>
      </c>
      <c r="C213" s="134">
        <v>0</v>
      </c>
      <c r="D213" s="5">
        <v>0</v>
      </c>
      <c r="E213" s="5">
        <v>0</v>
      </c>
      <c r="F213" s="5">
        <v>0</v>
      </c>
      <c r="G213" s="5">
        <v>0</v>
      </c>
      <c r="H213" s="5">
        <v>0</v>
      </c>
      <c r="I213" s="5">
        <v>0</v>
      </c>
      <c r="J213" s="5">
        <v>0</v>
      </c>
      <c r="K213" s="5">
        <v>0</v>
      </c>
      <c r="L213" s="5">
        <v>0</v>
      </c>
      <c r="M213" s="5">
        <v>0</v>
      </c>
      <c r="N213" s="117">
        <f t="shared" si="1"/>
        <v>0</v>
      </c>
    </row>
    <row r="214" spans="2:14" x14ac:dyDescent="0.25">
      <c r="B214" s="470" t="s">
        <v>755</v>
      </c>
      <c r="C214" s="472">
        <f>C212-C213</f>
        <v>0</v>
      </c>
      <c r="D214" s="7">
        <f t="shared" ref="D214:M214" si="4">D212-D213</f>
        <v>1914752.0443105609</v>
      </c>
      <c r="E214" s="7">
        <f t="shared" si="4"/>
        <v>2675907.494505458</v>
      </c>
      <c r="F214" s="7">
        <f t="shared" si="4"/>
        <v>3496712.3073136886</v>
      </c>
      <c r="G214" s="7">
        <f t="shared" si="4"/>
        <v>4204641.7261219174</v>
      </c>
      <c r="H214" s="7">
        <f t="shared" si="4"/>
        <v>3889684.6429749075</v>
      </c>
      <c r="I214" s="7">
        <f t="shared" si="4"/>
        <v>4719831.1224498041</v>
      </c>
      <c r="J214" s="7">
        <f t="shared" si="4"/>
        <v>4316799.4988447009</v>
      </c>
      <c r="K214" s="7">
        <f t="shared" si="4"/>
        <v>4017604.3116529305</v>
      </c>
      <c r="L214" s="7">
        <f t="shared" si="4"/>
        <v>3718409.124461161</v>
      </c>
      <c r="M214" s="7">
        <f t="shared" si="4"/>
        <v>3419213.9372693896</v>
      </c>
      <c r="N214" s="473">
        <f t="shared" si="1"/>
        <v>36373556.209904522</v>
      </c>
    </row>
    <row r="215" spans="2:14" ht="15.75" thickBot="1" x14ac:dyDescent="0.3">
      <c r="B215" s="37" t="s">
        <v>436</v>
      </c>
      <c r="C215" s="134">
        <f>Costos!I41</f>
        <v>11185.198972</v>
      </c>
      <c r="D215" s="5">
        <f>Costos!I42</f>
        <v>677507.63210683735</v>
      </c>
      <c r="E215" s="5">
        <f>Costos!I43</f>
        <v>849596.11316891469</v>
      </c>
      <c r="F215" s="5">
        <f>Costos!I44</f>
        <v>1034949.3296139261</v>
      </c>
      <c r="G215" s="5">
        <f>Costos!I45</f>
        <v>1195890.522058937</v>
      </c>
      <c r="H215" s="5">
        <f>Costos!I46</f>
        <v>1099709.2961575848</v>
      </c>
      <c r="I215" s="5">
        <f>Costos!I47</f>
        <v>1287415.4133897661</v>
      </c>
      <c r="J215" s="5">
        <f>Costos!I48</f>
        <v>1181753.1347929472</v>
      </c>
      <c r="K215" s="5">
        <f>Costos!I49</f>
        <v>1099277.3600290618</v>
      </c>
      <c r="L215" s="5">
        <f>Costos!I50</f>
        <v>1016801.5852651764</v>
      </c>
      <c r="M215" s="5">
        <f>Costos!I51</f>
        <v>934325.81050129083</v>
      </c>
      <c r="N215" s="117">
        <f t="shared" si="1"/>
        <v>10388411.396056442</v>
      </c>
    </row>
    <row r="216" spans="2:14" ht="15.75" thickBot="1" x14ac:dyDescent="0.3">
      <c r="B216" s="474" t="s">
        <v>756</v>
      </c>
      <c r="C216" s="128">
        <f>C214-C215</f>
        <v>-11185.198972</v>
      </c>
      <c r="D216" s="60">
        <f t="shared" ref="D216:N216" si="5">D214-D215</f>
        <v>1237244.4122037236</v>
      </c>
      <c r="E216" s="60">
        <f t="shared" si="5"/>
        <v>1826311.3813365432</v>
      </c>
      <c r="F216" s="60">
        <f t="shared" si="5"/>
        <v>2461762.9776997622</v>
      </c>
      <c r="G216" s="60">
        <f t="shared" si="5"/>
        <v>3008751.2040629806</v>
      </c>
      <c r="H216" s="60">
        <f t="shared" si="5"/>
        <v>2789975.346817323</v>
      </c>
      <c r="I216" s="60">
        <f t="shared" si="5"/>
        <v>3432415.709060038</v>
      </c>
      <c r="J216" s="60">
        <f t="shared" si="5"/>
        <v>3135046.3640517537</v>
      </c>
      <c r="K216" s="60">
        <f t="shared" si="5"/>
        <v>2918326.9516238687</v>
      </c>
      <c r="L216" s="60">
        <f t="shared" si="5"/>
        <v>2701607.5391959846</v>
      </c>
      <c r="M216" s="60">
        <f t="shared" si="5"/>
        <v>2484888.1267680987</v>
      </c>
      <c r="N216" s="118">
        <f t="shared" si="5"/>
        <v>25985144.813848078</v>
      </c>
    </row>
    <row r="217" spans="2:14" x14ac:dyDescent="0.25">
      <c r="B217" s="3"/>
      <c r="C217" s="7"/>
      <c r="D217" s="7"/>
      <c r="E217" s="7"/>
      <c r="F217" s="7"/>
      <c r="G217" s="7"/>
      <c r="I217" s="3"/>
      <c r="J217" s="7"/>
      <c r="K217" s="7"/>
      <c r="L217" s="7"/>
      <c r="M217" s="7"/>
      <c r="N217" s="7"/>
    </row>
    <row r="218" spans="2:14" ht="15.75" thickBot="1" x14ac:dyDescent="0.3">
      <c r="B218" t="s">
        <v>541</v>
      </c>
    </row>
    <row r="219" spans="2:14" ht="15.75" thickBot="1" x14ac:dyDescent="0.3">
      <c r="B219" s="3"/>
      <c r="C219" s="157" t="s">
        <v>23</v>
      </c>
      <c r="D219" s="158" t="s">
        <v>399</v>
      </c>
      <c r="E219" s="158" t="s">
        <v>400</v>
      </c>
      <c r="F219" s="158" t="s">
        <v>401</v>
      </c>
      <c r="G219" s="158" t="s">
        <v>403</v>
      </c>
      <c r="H219" s="158" t="s">
        <v>402</v>
      </c>
      <c r="I219" s="158" t="s">
        <v>404</v>
      </c>
      <c r="J219" s="158" t="s">
        <v>405</v>
      </c>
      <c r="K219" s="158" t="s">
        <v>406</v>
      </c>
      <c r="L219" s="158" t="s">
        <v>407</v>
      </c>
      <c r="M219" s="158" t="s">
        <v>408</v>
      </c>
      <c r="N219" s="116" t="s">
        <v>169</v>
      </c>
    </row>
    <row r="220" spans="2:14" x14ac:dyDescent="0.25">
      <c r="B220" s="469" t="s">
        <v>748</v>
      </c>
      <c r="C220" s="471">
        <f>C207</f>
        <v>0</v>
      </c>
      <c r="D220" s="219">
        <f t="shared" ref="D220:M220" si="6">D207</f>
        <v>9000000</v>
      </c>
      <c r="E220" s="219">
        <f t="shared" si="6"/>
        <v>10125000</v>
      </c>
      <c r="F220" s="219">
        <f t="shared" si="6"/>
        <v>11250000</v>
      </c>
      <c r="G220" s="219">
        <f t="shared" si="6"/>
        <v>12375000</v>
      </c>
      <c r="H220" s="219">
        <f t="shared" si="6"/>
        <v>12375000</v>
      </c>
      <c r="I220" s="219">
        <f t="shared" si="6"/>
        <v>12375000</v>
      </c>
      <c r="J220" s="219">
        <f t="shared" si="6"/>
        <v>12375000</v>
      </c>
      <c r="K220" s="219">
        <f t="shared" si="6"/>
        <v>12375000</v>
      </c>
      <c r="L220" s="219">
        <f t="shared" si="6"/>
        <v>12375000</v>
      </c>
      <c r="M220" s="219">
        <f t="shared" si="6"/>
        <v>12375000</v>
      </c>
      <c r="N220" s="473">
        <f>SUM(C220:M220)</f>
        <v>117000000</v>
      </c>
    </row>
    <row r="221" spans="2:14" x14ac:dyDescent="0.25">
      <c r="B221" s="37" t="s">
        <v>749</v>
      </c>
      <c r="C221" s="134">
        <f>Costos!AP7-Costos!AJ7</f>
        <v>0</v>
      </c>
      <c r="D221" s="5">
        <f>Costos!AP8-Costos!AJ8</f>
        <v>4503992.0787875308</v>
      </c>
      <c r="E221" s="5">
        <f>Costos!AP9-Costos!AJ9</f>
        <v>4858683.2659793012</v>
      </c>
      <c r="F221" s="5">
        <f>Costos!AP10-Costos!AJ10</f>
        <v>5162878.4531710716</v>
      </c>
      <c r="G221" s="5">
        <f>Costos!AP11-Costos!AJ11</f>
        <v>5557390.0743628424</v>
      </c>
      <c r="H221" s="5">
        <f>Costos!AP12-Costos!AJ12</f>
        <v>5856585.2615546118</v>
      </c>
      <c r="I221" s="5">
        <f>Costos!AP13-Costos!AJ13</f>
        <v>6155780.4487463813</v>
      </c>
      <c r="J221" s="5">
        <f>Costos!AP14-Costos!AJ14</f>
        <v>6549658.7097381512</v>
      </c>
      <c r="K221" s="5">
        <f>Costos!AP15-Costos!AJ15</f>
        <v>6848853.8969299216</v>
      </c>
      <c r="L221" s="5">
        <f>Costos!AP16-Costos!AJ16</f>
        <v>7148049.0841216911</v>
      </c>
      <c r="M221" s="5">
        <f>Costos!AP17-Costos!AJ17</f>
        <v>7447244.2713134624</v>
      </c>
      <c r="N221" s="117">
        <f t="shared" ref="N221:N228" si="7">SUM(C221:M221)</f>
        <v>60089115.544704959</v>
      </c>
    </row>
    <row r="222" spans="2:14" x14ac:dyDescent="0.25">
      <c r="B222" s="470" t="s">
        <v>750</v>
      </c>
      <c r="C222" s="472">
        <f>C220-C221</f>
        <v>0</v>
      </c>
      <c r="D222" s="7">
        <f t="shared" ref="D222:M222" si="8">D220-D221</f>
        <v>4496007.9212124692</v>
      </c>
      <c r="E222" s="7">
        <f t="shared" si="8"/>
        <v>5266316.7340206988</v>
      </c>
      <c r="F222" s="7">
        <f t="shared" si="8"/>
        <v>6087121.5468289284</v>
      </c>
      <c r="G222" s="7">
        <f t="shared" si="8"/>
        <v>6817609.9256371576</v>
      </c>
      <c r="H222" s="7">
        <f t="shared" si="8"/>
        <v>6518414.7384453882</v>
      </c>
      <c r="I222" s="7">
        <f t="shared" si="8"/>
        <v>6219219.5512536187</v>
      </c>
      <c r="J222" s="7">
        <f t="shared" si="8"/>
        <v>5825341.2902618488</v>
      </c>
      <c r="K222" s="7">
        <f t="shared" si="8"/>
        <v>5526146.1030700784</v>
      </c>
      <c r="L222" s="7">
        <f t="shared" si="8"/>
        <v>5226950.9158783089</v>
      </c>
      <c r="M222" s="7">
        <f t="shared" si="8"/>
        <v>4927755.7286865376</v>
      </c>
      <c r="N222" s="117">
        <f t="shared" si="7"/>
        <v>56910884.455295041</v>
      </c>
    </row>
    <row r="223" spans="2:14" x14ac:dyDescent="0.25">
      <c r="B223" s="37" t="s">
        <v>751</v>
      </c>
      <c r="C223" s="134">
        <f>D168-Costos!AG24</f>
        <v>0</v>
      </c>
      <c r="D223" s="5">
        <f>D169-Costos!AG25</f>
        <v>826143.75</v>
      </c>
      <c r="E223" s="5">
        <f>D170-Costos!AG26</f>
        <v>826143.75</v>
      </c>
      <c r="F223" s="5">
        <f>D171-Costos!AG27</f>
        <v>826143.75</v>
      </c>
      <c r="G223" s="5">
        <f>D172-Costos!AG28</f>
        <v>826143.75</v>
      </c>
      <c r="H223" s="5">
        <f>D173-Costos!AG29</f>
        <v>826143.75</v>
      </c>
      <c r="I223" s="5">
        <f>D174-Costos!AG30</f>
        <v>826143.75</v>
      </c>
      <c r="J223" s="5">
        <f>D175-Costos!AG31</f>
        <v>826143.75000000012</v>
      </c>
      <c r="K223" s="5">
        <f>D176-Costos!AG32</f>
        <v>826143.75000000012</v>
      </c>
      <c r="L223" s="5">
        <f>D177-Costos!AG33</f>
        <v>826143.75</v>
      </c>
      <c r="M223" s="5">
        <f>D178-Costos!AG34</f>
        <v>826143.75</v>
      </c>
      <c r="N223" s="117">
        <f t="shared" si="7"/>
        <v>8261437.5</v>
      </c>
    </row>
    <row r="224" spans="2:14" x14ac:dyDescent="0.25">
      <c r="B224" s="37" t="s">
        <v>752</v>
      </c>
      <c r="C224" s="134">
        <f>Costos!AJ7</f>
        <v>0</v>
      </c>
      <c r="D224" s="5">
        <f>Costos!AJ8</f>
        <v>1900874.2833019076</v>
      </c>
      <c r="E224" s="5">
        <f>Costos!AJ9</f>
        <v>1910027.645915241</v>
      </c>
      <c r="F224" s="5">
        <f>Costos!AJ10</f>
        <v>1910027.645915241</v>
      </c>
      <c r="G224" s="5">
        <f>Costos!AJ11</f>
        <v>1932586.6059152409</v>
      </c>
      <c r="H224" s="5">
        <f>Costos!AJ12</f>
        <v>1948348.5018704818</v>
      </c>
      <c r="I224" s="5">
        <f>Costos!AJ13</f>
        <v>673244.67880381492</v>
      </c>
      <c r="J224" s="5">
        <f>Costos!AJ14</f>
        <v>682398.0414171482</v>
      </c>
      <c r="K224" s="5">
        <f>Costos!AJ15</f>
        <v>682398.0414171482</v>
      </c>
      <c r="L224" s="5">
        <f>Costos!AJ16</f>
        <v>682398.0414171482</v>
      </c>
      <c r="M224" s="5">
        <f>Costos!AJ17</f>
        <v>682398.0414171482</v>
      </c>
      <c r="N224" s="117">
        <f t="shared" si="7"/>
        <v>13004701.527390519</v>
      </c>
    </row>
    <row r="225" spans="2:17" x14ac:dyDescent="0.25">
      <c r="B225" s="470" t="s">
        <v>753</v>
      </c>
      <c r="C225" s="472">
        <f>C222-C223-C224</f>
        <v>0</v>
      </c>
      <c r="D225" s="7">
        <f t="shared" ref="D225:M225" si="9">D222-D223-D224</f>
        <v>1768989.8879105616</v>
      </c>
      <c r="E225" s="7">
        <f t="shared" si="9"/>
        <v>2530145.3381054578</v>
      </c>
      <c r="F225" s="7">
        <f t="shared" si="9"/>
        <v>3350950.1509136874</v>
      </c>
      <c r="G225" s="7">
        <f t="shared" si="9"/>
        <v>4058879.5697219167</v>
      </c>
      <c r="H225" s="7">
        <f t="shared" si="9"/>
        <v>3743922.4865749064</v>
      </c>
      <c r="I225" s="7">
        <f t="shared" si="9"/>
        <v>4719831.1224498041</v>
      </c>
      <c r="J225" s="7">
        <f t="shared" si="9"/>
        <v>4316799.4988447009</v>
      </c>
      <c r="K225" s="7">
        <f t="shared" si="9"/>
        <v>4017604.3116529305</v>
      </c>
      <c r="L225" s="7">
        <f t="shared" si="9"/>
        <v>3718409.124461161</v>
      </c>
      <c r="M225" s="7">
        <f t="shared" si="9"/>
        <v>3419213.9372693896</v>
      </c>
      <c r="N225" s="473">
        <f t="shared" si="7"/>
        <v>35644745.427904516</v>
      </c>
    </row>
    <row r="226" spans="2:17" x14ac:dyDescent="0.25">
      <c r="B226" s="37" t="s">
        <v>754</v>
      </c>
      <c r="C226" s="134">
        <f>Costos!AG24</f>
        <v>0</v>
      </c>
      <c r="D226" s="5">
        <f>Costos!AG25</f>
        <v>624694.95600000001</v>
      </c>
      <c r="E226" s="5">
        <f>Costos!AG26</f>
        <v>624694.95600000001</v>
      </c>
      <c r="F226" s="5">
        <f>Costos!AG27</f>
        <v>624694.95600000001</v>
      </c>
      <c r="G226" s="5">
        <f>Costos!AG28</f>
        <v>546608.08649999998</v>
      </c>
      <c r="H226" s="5">
        <f>Costos!AG29</f>
        <v>468521.217</v>
      </c>
      <c r="I226" s="5">
        <f>Costos!AG30</f>
        <v>390434.34749999997</v>
      </c>
      <c r="J226" s="5">
        <f>Costos!AG31</f>
        <v>312347.478</v>
      </c>
      <c r="K226" s="5">
        <f>Costos!AG32</f>
        <v>234260.60849999997</v>
      </c>
      <c r="L226" s="5">
        <f>Costos!AG33</f>
        <v>156173.73899999997</v>
      </c>
      <c r="M226" s="5">
        <f>Costos!AG34</f>
        <v>78086.869499999972</v>
      </c>
      <c r="N226" s="117">
        <f t="shared" si="7"/>
        <v>4060517.2140000006</v>
      </c>
    </row>
    <row r="227" spans="2:17" x14ac:dyDescent="0.25">
      <c r="B227" s="470" t="s">
        <v>755</v>
      </c>
      <c r="C227" s="472">
        <f>C225-C226</f>
        <v>0</v>
      </c>
      <c r="D227" s="7">
        <f t="shared" ref="D227:M227" si="10">D225-D226</f>
        <v>1144294.9319105616</v>
      </c>
      <c r="E227" s="7">
        <f t="shared" si="10"/>
        <v>1905450.3821054578</v>
      </c>
      <c r="F227" s="7">
        <f t="shared" si="10"/>
        <v>2726255.1949136872</v>
      </c>
      <c r="G227" s="7">
        <f t="shared" si="10"/>
        <v>3512271.4832219165</v>
      </c>
      <c r="H227" s="7">
        <f t="shared" si="10"/>
        <v>3275401.2695749062</v>
      </c>
      <c r="I227" s="7">
        <f t="shared" si="10"/>
        <v>4329396.7749498039</v>
      </c>
      <c r="J227" s="7">
        <f t="shared" si="10"/>
        <v>4004452.0208447007</v>
      </c>
      <c r="K227" s="7">
        <f t="shared" si="10"/>
        <v>3783343.7031529304</v>
      </c>
      <c r="L227" s="7">
        <f t="shared" si="10"/>
        <v>3562235.3854611609</v>
      </c>
      <c r="M227" s="7">
        <f t="shared" si="10"/>
        <v>3341127.0677693896</v>
      </c>
      <c r="N227" s="473">
        <f t="shared" si="7"/>
        <v>31584228.213904511</v>
      </c>
    </row>
    <row r="228" spans="2:17" ht="15.75" thickBot="1" x14ac:dyDescent="0.3">
      <c r="B228" s="37" t="s">
        <v>436</v>
      </c>
      <c r="C228" s="134">
        <f>Costos!AI41</f>
        <v>11185.198972</v>
      </c>
      <c r="D228" s="5">
        <f>Costos!AI42</f>
        <v>375962.17105433735</v>
      </c>
      <c r="E228" s="5">
        <f>Costos!AI43</f>
        <v>546410.82785691484</v>
      </c>
      <c r="F228" s="5">
        <f>Costos!AI44</f>
        <v>730124.22004242567</v>
      </c>
      <c r="G228" s="5">
        <f>Costos!AI45</f>
        <v>923588.59363418655</v>
      </c>
      <c r="H228" s="5">
        <f>Costos!AI46</f>
        <v>859930.54887958465</v>
      </c>
      <c r="I228" s="5">
        <f>Costos!AI47</f>
        <v>1116600.3863585161</v>
      </c>
      <c r="J228" s="5">
        <f>Costos!AI48</f>
        <v>1045101.1131679475</v>
      </c>
      <c r="K228" s="5">
        <f>Costos!AI49</f>
        <v>996788.34381031175</v>
      </c>
      <c r="L228" s="5">
        <f>Costos!AI50</f>
        <v>948475.57445267634</v>
      </c>
      <c r="M228" s="5">
        <f>Costos!AI51</f>
        <v>900162.80509504059</v>
      </c>
      <c r="N228" s="117">
        <f t="shared" si="7"/>
        <v>8454329.7833239418</v>
      </c>
    </row>
    <row r="229" spans="2:17" ht="15.75" thickBot="1" x14ac:dyDescent="0.3">
      <c r="B229" s="474" t="s">
        <v>756</v>
      </c>
      <c r="C229" s="128">
        <f>C227-C228</f>
        <v>-11185.198972</v>
      </c>
      <c r="D229" s="60">
        <f t="shared" ref="D229:N229" si="11">D227-D228</f>
        <v>768332.76085622422</v>
      </c>
      <c r="E229" s="60">
        <f t="shared" si="11"/>
        <v>1359039.554248543</v>
      </c>
      <c r="F229" s="60">
        <f t="shared" si="11"/>
        <v>1996130.9748712615</v>
      </c>
      <c r="G229" s="60">
        <f t="shared" si="11"/>
        <v>2588682.8895877302</v>
      </c>
      <c r="H229" s="60">
        <f t="shared" si="11"/>
        <v>2415470.7206953214</v>
      </c>
      <c r="I229" s="60">
        <f t="shared" si="11"/>
        <v>3212796.3885912877</v>
      </c>
      <c r="J229" s="60">
        <f t="shared" si="11"/>
        <v>2959350.9076767531</v>
      </c>
      <c r="K229" s="60">
        <f t="shared" si="11"/>
        <v>2786555.3593426188</v>
      </c>
      <c r="L229" s="60">
        <f t="shared" si="11"/>
        <v>2613759.8110084846</v>
      </c>
      <c r="M229" s="60">
        <f t="shared" si="11"/>
        <v>2440964.2626743489</v>
      </c>
      <c r="N229" s="118">
        <f t="shared" si="11"/>
        <v>23129898.430580571</v>
      </c>
    </row>
    <row r="230" spans="2:17" x14ac:dyDescent="0.25">
      <c r="B230" s="3"/>
      <c r="C230" s="7"/>
      <c r="D230" s="7"/>
      <c r="E230" s="7"/>
      <c r="F230" s="7"/>
      <c r="G230" s="7"/>
      <c r="I230" s="3"/>
      <c r="J230" s="7"/>
      <c r="K230" s="7"/>
      <c r="L230" s="7"/>
      <c r="M230" s="7"/>
      <c r="N230" s="7"/>
    </row>
    <row r="231" spans="2:17" x14ac:dyDescent="0.25">
      <c r="B231" s="506" t="s">
        <v>583</v>
      </c>
      <c r="C231" s="506"/>
      <c r="D231" s="506"/>
      <c r="E231" s="506"/>
      <c r="F231" s="506"/>
      <c r="G231" s="506"/>
      <c r="H231" s="506"/>
      <c r="I231" s="506"/>
      <c r="J231" s="506"/>
      <c r="K231" s="506"/>
      <c r="L231" s="506"/>
      <c r="M231" s="506"/>
      <c r="N231" s="506"/>
      <c r="O231" s="506"/>
      <c r="P231" s="506"/>
      <c r="Q231" s="506"/>
    </row>
    <row r="233" spans="2:17" x14ac:dyDescent="0.25">
      <c r="B233" s="3" t="str">
        <f>'Pto Eq'!$A$3</f>
        <v>Año 1</v>
      </c>
    </row>
    <row r="234" spans="2:17" x14ac:dyDescent="0.25">
      <c r="B234" t="str">
        <f>'Pto Eq'!C22</f>
        <v>Pto de Eq</v>
      </c>
      <c r="C234" s="5">
        <f>'Pto Eq'!D22</f>
        <v>8224.3140184944677</v>
      </c>
      <c r="D234" t="str">
        <f>'Pto Eq'!E22</f>
        <v>m3</v>
      </c>
    </row>
    <row r="235" spans="2:17" x14ac:dyDescent="0.25">
      <c r="B235" t="str">
        <f>'Pto Eq'!C23</f>
        <v>Prod Año 1</v>
      </c>
      <c r="C235" s="5">
        <f>'Pto Eq'!D23</f>
        <v>8000</v>
      </c>
      <c r="D235" t="str">
        <f>'Pto Eq'!E23</f>
        <v>m3</v>
      </c>
    </row>
    <row r="258" spans="2:4" x14ac:dyDescent="0.25">
      <c r="B258" s="3" t="str">
        <f>'Pto Eq'!$A$27</f>
        <v>Año 5</v>
      </c>
    </row>
    <row r="259" spans="2:4" x14ac:dyDescent="0.25">
      <c r="B259" t="str">
        <f>'Pto Eq'!C46</f>
        <v>Pto de Eq</v>
      </c>
      <c r="C259" s="5">
        <f>'Pto Eq'!D46</f>
        <v>8958.8281346680851</v>
      </c>
      <c r="D259" t="str">
        <f>'Pto Eq'!E46</f>
        <v>m3</v>
      </c>
    </row>
    <row r="260" spans="2:4" x14ac:dyDescent="0.25">
      <c r="B260" t="str">
        <f>'Pto Eq'!C47</f>
        <v>Prod Año 5</v>
      </c>
      <c r="C260" s="5">
        <f>'Pto Eq'!D47</f>
        <v>11000</v>
      </c>
      <c r="D260" t="str">
        <f>'Pto Eq'!E47</f>
        <v>m3</v>
      </c>
    </row>
    <row r="283" spans="2:4" x14ac:dyDescent="0.25">
      <c r="B283" s="3" t="str">
        <f>'Pto Eq'!A51</f>
        <v>Año 10</v>
      </c>
    </row>
    <row r="284" spans="2:4" x14ac:dyDescent="0.25">
      <c r="B284" t="str">
        <f>'Pto Eq'!C70</f>
        <v>Pto de Eq</v>
      </c>
      <c r="C284" s="5">
        <f>'Pto Eq'!D70</f>
        <v>9198.701799504086</v>
      </c>
      <c r="D284" t="str">
        <f>'Pto Eq'!E70</f>
        <v>m3</v>
      </c>
    </row>
    <row r="285" spans="2:4" x14ac:dyDescent="0.25">
      <c r="B285" t="str">
        <f>'Pto Eq'!C71</f>
        <v>Prod Año 10</v>
      </c>
      <c r="C285" s="5">
        <f>'Pto Eq'!D71</f>
        <v>11000</v>
      </c>
      <c r="D285" t="str">
        <f>'Pto Eq'!E71</f>
        <v>m3</v>
      </c>
    </row>
    <row r="308" spans="2:17" x14ac:dyDescent="0.25">
      <c r="B308" s="506" t="s">
        <v>584</v>
      </c>
      <c r="C308" s="506"/>
      <c r="D308" s="506"/>
      <c r="E308" s="506"/>
      <c r="F308" s="506"/>
      <c r="G308" s="506"/>
      <c r="H308" s="506"/>
      <c r="I308" s="506"/>
      <c r="J308" s="506"/>
      <c r="K308" s="506"/>
      <c r="L308" s="506"/>
      <c r="M308" s="506"/>
      <c r="N308" s="506"/>
      <c r="O308" s="506"/>
      <c r="P308" s="506"/>
      <c r="Q308" s="506"/>
    </row>
    <row r="310" spans="2:17" x14ac:dyDescent="0.25">
      <c r="B310" s="3" t="str">
        <f>'Pto Eq'!$W$3</f>
        <v>Año 1</v>
      </c>
    </row>
    <row r="311" spans="2:17" x14ac:dyDescent="0.25">
      <c r="B311" t="str">
        <f>'Pto Eq'!Y22</f>
        <v>Pto de Eq</v>
      </c>
      <c r="C311" s="5">
        <f>'Pto Eq'!Z22</f>
        <v>9157.1587571754262</v>
      </c>
      <c r="D311" t="str">
        <f>'Pto Eq'!AA22</f>
        <v>m3</v>
      </c>
    </row>
    <row r="312" spans="2:17" x14ac:dyDescent="0.25">
      <c r="B312" t="str">
        <f>'Pto Eq'!Y23</f>
        <v>Prod Año 1</v>
      </c>
      <c r="C312" s="5">
        <f>'Pto Eq'!Z23</f>
        <v>8000</v>
      </c>
      <c r="D312" t="str">
        <f>'Pto Eq'!AA23</f>
        <v>m3</v>
      </c>
    </row>
    <row r="335" spans="2:4" x14ac:dyDescent="0.25">
      <c r="B335" s="3" t="str">
        <f>'Pto Eq'!$A$27</f>
        <v>Año 5</v>
      </c>
    </row>
    <row r="336" spans="2:4" x14ac:dyDescent="0.25">
      <c r="B336" t="str">
        <f>'Pto Eq'!Y46</f>
        <v>Pto de Eq</v>
      </c>
      <c r="C336" s="5">
        <f>'Pto Eq'!Z46</f>
        <v>9777.5146026776438</v>
      </c>
      <c r="D336" t="str">
        <f>'Pto Eq'!AA46</f>
        <v>m3</v>
      </c>
    </row>
    <row r="337" spans="2:4" x14ac:dyDescent="0.25">
      <c r="B337" t="str">
        <f>'Pto Eq'!Y47</f>
        <v>Prod Año 5</v>
      </c>
      <c r="C337" s="5">
        <f>'Pto Eq'!Z47</f>
        <v>11000</v>
      </c>
      <c r="D337" t="str">
        <f>'Pto Eq'!AA47</f>
        <v>m3</v>
      </c>
    </row>
    <row r="360" spans="2:4" x14ac:dyDescent="0.25">
      <c r="B360" s="3" t="str">
        <f>'Pto Eq'!$W$51</f>
        <v>Año 10</v>
      </c>
    </row>
    <row r="361" spans="2:4" x14ac:dyDescent="0.25">
      <c r="B361" t="str">
        <f>'Pto Eq'!Y70</f>
        <v>Pto de Eq</v>
      </c>
      <c r="C361" s="5">
        <f>'Pto Eq'!Z70</f>
        <v>9324.5611357133985</v>
      </c>
      <c r="D361" t="str">
        <f>'Pto Eq'!AA70</f>
        <v>m3</v>
      </c>
    </row>
    <row r="362" spans="2:4" x14ac:dyDescent="0.25">
      <c r="B362" t="str">
        <f>'Pto Eq'!Y71</f>
        <v>Prod Año 10</v>
      </c>
      <c r="C362" s="5">
        <f>'Pto Eq'!Z71</f>
        <v>11000</v>
      </c>
      <c r="D362" t="str">
        <f>'Pto Eq'!AA71</f>
        <v>m3</v>
      </c>
    </row>
    <row r="385" spans="2:17" x14ac:dyDescent="0.25">
      <c r="B385" s="506" t="s">
        <v>585</v>
      </c>
      <c r="C385" s="506"/>
      <c r="D385" s="506"/>
      <c r="E385" s="506"/>
      <c r="F385" s="506"/>
      <c r="G385" s="506"/>
      <c r="H385" s="506"/>
      <c r="I385" s="506"/>
      <c r="J385" s="506"/>
      <c r="K385" s="506"/>
      <c r="L385" s="506"/>
      <c r="M385" s="506"/>
      <c r="N385" s="506"/>
      <c r="O385" s="506"/>
      <c r="P385" s="506"/>
      <c r="Q385" s="506"/>
    </row>
    <row r="386" spans="2:17" ht="15.75" thickBot="1" x14ac:dyDescent="0.3"/>
    <row r="387" spans="2:17" s="3" customFormat="1" ht="15.75" thickBot="1" x14ac:dyDescent="0.3">
      <c r="C387" s="131" t="s">
        <v>23</v>
      </c>
      <c r="D387" s="131" t="s">
        <v>399</v>
      </c>
      <c r="E387" s="132" t="s">
        <v>400</v>
      </c>
      <c r="F387" s="131" t="s">
        <v>401</v>
      </c>
      <c r="G387" s="133" t="s">
        <v>403</v>
      </c>
      <c r="H387" s="132" t="s">
        <v>402</v>
      </c>
      <c r="I387" s="131" t="s">
        <v>404</v>
      </c>
      <c r="J387" s="133" t="s">
        <v>405</v>
      </c>
      <c r="K387" s="132" t="s">
        <v>406</v>
      </c>
      <c r="L387" s="131" t="s">
        <v>407</v>
      </c>
      <c r="M387" s="133" t="s">
        <v>408</v>
      </c>
      <c r="N387" s="116" t="s">
        <v>169</v>
      </c>
    </row>
    <row r="388" spans="2:17" x14ac:dyDescent="0.25">
      <c r="B388" s="129" t="s">
        <v>586</v>
      </c>
      <c r="C388" s="49"/>
      <c r="D388" s="49"/>
      <c r="E388" s="36"/>
      <c r="F388" s="49"/>
      <c r="G388" s="100"/>
      <c r="H388" s="36"/>
      <c r="I388" s="49"/>
      <c r="J388" s="100"/>
      <c r="K388" s="36"/>
      <c r="L388" s="49"/>
      <c r="M388" s="100"/>
      <c r="N388" s="100"/>
    </row>
    <row r="389" spans="2:17" x14ac:dyDescent="0.25">
      <c r="B389" s="35" t="s">
        <v>472</v>
      </c>
      <c r="C389" s="117">
        <f>FF!D5+C396</f>
        <v>16977867.102500614</v>
      </c>
      <c r="D389" s="117"/>
      <c r="E389" s="134"/>
      <c r="F389" s="117"/>
      <c r="G389" s="127"/>
      <c r="H389" s="134"/>
      <c r="I389" s="117"/>
      <c r="J389" s="127"/>
      <c r="K389" s="134"/>
      <c r="L389" s="117"/>
      <c r="M389" s="127"/>
      <c r="N389" s="127">
        <f>SUM(C389:M389)</f>
        <v>16977867.102500614</v>
      </c>
    </row>
    <row r="390" spans="2:17" x14ac:dyDescent="0.25">
      <c r="B390" s="35" t="s">
        <v>587</v>
      </c>
      <c r="C390" s="117">
        <f>Ingresos!P8</f>
        <v>0</v>
      </c>
      <c r="D390" s="117">
        <f>Ingresos!P9</f>
        <v>9000000</v>
      </c>
      <c r="E390" s="134">
        <f>Ingresos!P10</f>
        <v>10125000</v>
      </c>
      <c r="F390" s="117">
        <f>Ingresos!P11</f>
        <v>11250000</v>
      </c>
      <c r="G390" s="127">
        <f>Ingresos!P12</f>
        <v>12375000</v>
      </c>
      <c r="H390" s="134">
        <f>Ingresos!P13</f>
        <v>12375000</v>
      </c>
      <c r="I390" s="117">
        <f>Ingresos!P14</f>
        <v>12375000</v>
      </c>
      <c r="J390" s="127">
        <f>Ingresos!P15</f>
        <v>12375000</v>
      </c>
      <c r="K390" s="134">
        <f>Ingresos!P16</f>
        <v>12375000</v>
      </c>
      <c r="L390" s="117">
        <f>Ingresos!P17</f>
        <v>12375000</v>
      </c>
      <c r="M390" s="127">
        <f>Ingresos!P18</f>
        <v>12375000</v>
      </c>
      <c r="N390" s="127">
        <f>SUM(C390:M390)</f>
        <v>117000000</v>
      </c>
    </row>
    <row r="391" spans="2:17" ht="15.75" thickBot="1" x14ac:dyDescent="0.3">
      <c r="B391" s="38" t="s">
        <v>409</v>
      </c>
      <c r="C391" s="125"/>
      <c r="D391" s="125"/>
      <c r="E391" s="135"/>
      <c r="F391" s="125"/>
      <c r="G391" s="130"/>
      <c r="H391" s="135"/>
      <c r="I391" s="125"/>
      <c r="J391" s="130"/>
      <c r="K391" s="135"/>
      <c r="L391" s="125"/>
      <c r="M391" s="130">
        <f>Amort!AO96</f>
        <v>5680079.8758667046</v>
      </c>
      <c r="N391" s="127">
        <f t="shared" ref="N391:N398" si="12">SUM(C391:M391)</f>
        <v>5680079.8758667046</v>
      </c>
    </row>
    <row r="392" spans="2:17" ht="15.75" thickBot="1" x14ac:dyDescent="0.3">
      <c r="B392" s="13" t="s">
        <v>588</v>
      </c>
      <c r="C392" s="118">
        <f>SUM(C389:C391)</f>
        <v>16977867.102500614</v>
      </c>
      <c r="D392" s="118">
        <f t="shared" ref="D392:M392" si="13">SUM(D389:D391)</f>
        <v>9000000</v>
      </c>
      <c r="E392" s="128">
        <f t="shared" si="13"/>
        <v>10125000</v>
      </c>
      <c r="F392" s="118">
        <f t="shared" si="13"/>
        <v>11250000</v>
      </c>
      <c r="G392" s="114">
        <f t="shared" si="13"/>
        <v>12375000</v>
      </c>
      <c r="H392" s="128">
        <f t="shared" si="13"/>
        <v>12375000</v>
      </c>
      <c r="I392" s="118">
        <f t="shared" si="13"/>
        <v>12375000</v>
      </c>
      <c r="J392" s="114">
        <f t="shared" si="13"/>
        <v>12375000</v>
      </c>
      <c r="K392" s="128">
        <f t="shared" si="13"/>
        <v>12375000</v>
      </c>
      <c r="L392" s="118">
        <f t="shared" si="13"/>
        <v>12375000</v>
      </c>
      <c r="M392" s="114">
        <f t="shared" si="13"/>
        <v>18055079.875866704</v>
      </c>
      <c r="N392" s="118">
        <f t="shared" si="12"/>
        <v>139657946.97836733</v>
      </c>
    </row>
    <row r="393" spans="2:17" x14ac:dyDescent="0.25">
      <c r="B393" s="129" t="s">
        <v>589</v>
      </c>
      <c r="C393" s="49"/>
      <c r="D393" s="49"/>
      <c r="E393" s="36"/>
      <c r="F393" s="49"/>
      <c r="G393" s="100"/>
      <c r="H393" s="36"/>
      <c r="I393" s="49"/>
      <c r="J393" s="100"/>
      <c r="K393" s="36"/>
      <c r="L393" s="49"/>
      <c r="M393" s="100"/>
      <c r="N393" s="127">
        <f t="shared" si="12"/>
        <v>0</v>
      </c>
    </row>
    <row r="394" spans="2:17" x14ac:dyDescent="0.25">
      <c r="B394" s="35" t="s">
        <v>590</v>
      </c>
      <c r="C394" s="117">
        <f>Amort!AT6+Amort!AU6</f>
        <v>15666681.903528612</v>
      </c>
      <c r="D394" s="117">
        <f>Amort!AT7+Amort!AU7</f>
        <v>137300.43920000002</v>
      </c>
      <c r="E394" s="134">
        <f>Amort!AT8+Amort!AU8</f>
        <v>0</v>
      </c>
      <c r="F394" s="117">
        <f>Amort!AT9+Amort!AU9</f>
        <v>338384.4</v>
      </c>
      <c r="G394" s="127">
        <f>Amort!AT10+Amort!AU10</f>
        <v>236428.43932861101</v>
      </c>
      <c r="H394" s="134">
        <f>Amort!AT11+Amort!AU11</f>
        <v>39875</v>
      </c>
      <c r="I394" s="117">
        <f>Amort!AT12+Amort!AU12</f>
        <v>237300.43920000002</v>
      </c>
      <c r="J394" s="127">
        <f>Amort!AT13+Amort!AU13</f>
        <v>0</v>
      </c>
      <c r="K394" s="134">
        <f>Amort!AT14+Amort!AU14</f>
        <v>0</v>
      </c>
      <c r="L394" s="117">
        <f>Amort!AT15+Amort!AU15</f>
        <v>0</v>
      </c>
      <c r="M394" s="127">
        <f>Amort!AT16+Amort!AU16</f>
        <v>0</v>
      </c>
      <c r="N394" s="127">
        <f t="shared" si="12"/>
        <v>16655970.621257225</v>
      </c>
    </row>
    <row r="395" spans="2:17" x14ac:dyDescent="0.25">
      <c r="B395" s="35" t="s">
        <v>591</v>
      </c>
      <c r="C395" s="117">
        <f>Amort!AV6</f>
        <v>1300000</v>
      </c>
      <c r="D395" s="117">
        <f>Amort!AV7</f>
        <v>0</v>
      </c>
      <c r="E395" s="134">
        <f>Amort!AV8</f>
        <v>0</v>
      </c>
      <c r="F395" s="117">
        <f>Amort!AV9</f>
        <v>0</v>
      </c>
      <c r="G395" s="127">
        <f>Amort!AV10</f>
        <v>0</v>
      </c>
      <c r="H395" s="134">
        <f>Amort!AV11</f>
        <v>0</v>
      </c>
      <c r="I395" s="117">
        <f>Amort!AV12</f>
        <v>0</v>
      </c>
      <c r="J395" s="127">
        <f>Amort!AV13</f>
        <v>0</v>
      </c>
      <c r="K395" s="134">
        <f>Amort!AV14</f>
        <v>0</v>
      </c>
      <c r="L395" s="117">
        <f>Amort!AV15</f>
        <v>0</v>
      </c>
      <c r="M395" s="127">
        <f>Amort!AV16</f>
        <v>0</v>
      </c>
      <c r="N395" s="127">
        <f t="shared" si="12"/>
        <v>1300000</v>
      </c>
    </row>
    <row r="396" spans="2:17" x14ac:dyDescent="0.25">
      <c r="B396" s="35" t="s">
        <v>412</v>
      </c>
      <c r="C396" s="117">
        <f>FF!F5+FF!H5</f>
        <v>11185.198972</v>
      </c>
      <c r="D396" s="117">
        <f>FF!F6+FF!H6</f>
        <v>6007643.4608943686</v>
      </c>
      <c r="E396" s="134">
        <f>FF!F7+FF!H7</f>
        <v>6534423.1291482169</v>
      </c>
      <c r="F396" s="117">
        <f>FF!F8+FF!H8</f>
        <v>7023971.5327849975</v>
      </c>
      <c r="G396" s="127">
        <f>FF!F9+FF!H9</f>
        <v>7579424.3464217782</v>
      </c>
      <c r="H396" s="134">
        <f>FF!F10+FF!H10</f>
        <v>7782438.3077121954</v>
      </c>
      <c r="I396" s="117">
        <f>FF!F11+FF!H11</f>
        <v>8269339.612136147</v>
      </c>
      <c r="J396" s="127">
        <f>FF!F12+FF!H12</f>
        <v>8557555.5945310984</v>
      </c>
      <c r="K396" s="134">
        <f>FF!F13+FF!H13</f>
        <v>8774275.0069589838</v>
      </c>
      <c r="L396" s="117">
        <f>FF!F14+FF!H14</f>
        <v>8990994.4193868674</v>
      </c>
      <c r="M396" s="127">
        <f>FF!F15+FF!H15</f>
        <v>9207713.8318147529</v>
      </c>
      <c r="N396" s="127">
        <f t="shared" si="12"/>
        <v>78738964.440761402</v>
      </c>
    </row>
    <row r="397" spans="2:17" ht="15.75" thickBot="1" x14ac:dyDescent="0.3">
      <c r="B397" s="38" t="s">
        <v>592</v>
      </c>
      <c r="C397" s="125">
        <f>C398-SUM(C394:C396)</f>
        <v>0</v>
      </c>
      <c r="D397" s="125">
        <f t="shared" ref="D397:M397" si="14">D398-SUM(D394:D396)</f>
        <v>2855056.0999056315</v>
      </c>
      <c r="E397" s="135">
        <f t="shared" si="14"/>
        <v>3590576.8708517831</v>
      </c>
      <c r="F397" s="125">
        <f t="shared" si="14"/>
        <v>3887644.0672150021</v>
      </c>
      <c r="G397" s="130">
        <f t="shared" si="14"/>
        <v>4559147.2142496109</v>
      </c>
      <c r="H397" s="135">
        <f t="shared" si="14"/>
        <v>4552686.6922878046</v>
      </c>
      <c r="I397" s="125">
        <f t="shared" si="14"/>
        <v>3868359.9486638531</v>
      </c>
      <c r="J397" s="130">
        <f t="shared" si="14"/>
        <v>3817444.4054689016</v>
      </c>
      <c r="K397" s="135">
        <f t="shared" si="14"/>
        <v>3600724.9930410162</v>
      </c>
      <c r="L397" s="125">
        <f t="shared" si="14"/>
        <v>3384005.5806131326</v>
      </c>
      <c r="M397" s="130">
        <f t="shared" si="14"/>
        <v>8847366.0440519508</v>
      </c>
      <c r="N397" s="127">
        <f t="shared" si="12"/>
        <v>42963011.916348688</v>
      </c>
    </row>
    <row r="398" spans="2:17" ht="15.75" thickBot="1" x14ac:dyDescent="0.3">
      <c r="B398" s="13" t="s">
        <v>593</v>
      </c>
      <c r="C398" s="118">
        <f>C392</f>
        <v>16977867.102500614</v>
      </c>
      <c r="D398" s="118">
        <f t="shared" ref="D398:M398" si="15">D392</f>
        <v>9000000</v>
      </c>
      <c r="E398" s="128">
        <f t="shared" si="15"/>
        <v>10125000</v>
      </c>
      <c r="F398" s="118">
        <f t="shared" si="15"/>
        <v>11250000</v>
      </c>
      <c r="G398" s="114">
        <f t="shared" si="15"/>
        <v>12375000</v>
      </c>
      <c r="H398" s="128">
        <f t="shared" si="15"/>
        <v>12375000</v>
      </c>
      <c r="I398" s="118">
        <f t="shared" si="15"/>
        <v>12375000</v>
      </c>
      <c r="J398" s="114">
        <f t="shared" si="15"/>
        <v>12375000</v>
      </c>
      <c r="K398" s="128">
        <f t="shared" si="15"/>
        <v>12375000</v>
      </c>
      <c r="L398" s="118">
        <f t="shared" si="15"/>
        <v>12375000</v>
      </c>
      <c r="M398" s="114">
        <f t="shared" si="15"/>
        <v>18055079.875866704</v>
      </c>
      <c r="N398" s="118">
        <f t="shared" si="12"/>
        <v>139657946.97836733</v>
      </c>
    </row>
    <row r="399" spans="2:17" ht="15.75" thickBot="1" x14ac:dyDescent="0.3"/>
    <row r="400" spans="2:17" x14ac:dyDescent="0.25">
      <c r="C400" s="5"/>
      <c r="E400" s="5"/>
      <c r="I400" s="139" t="str">
        <f>FF!C18</f>
        <v>VAN</v>
      </c>
      <c r="J400" s="140">
        <f>FF!D18</f>
        <v>8115218.0382192954</v>
      </c>
      <c r="K400" s="141" t="str">
        <f>FF!E18</f>
        <v>US$</v>
      </c>
      <c r="N400" s="5"/>
    </row>
    <row r="401" spans="4:11" x14ac:dyDescent="0.25">
      <c r="D401" s="148"/>
      <c r="I401" s="142" t="str">
        <f>FF!C19</f>
        <v>TIR</v>
      </c>
      <c r="J401" s="137">
        <f>FF!D19</f>
        <v>0.19142493393938853</v>
      </c>
      <c r="K401" s="143"/>
    </row>
    <row r="402" spans="4:11" x14ac:dyDescent="0.25">
      <c r="I402" s="142" t="str">
        <f>FF!C20</f>
        <v>Repago</v>
      </c>
      <c r="J402" s="138">
        <f>FF!D20</f>
        <v>4.45806860678801</v>
      </c>
      <c r="K402" s="143" t="str">
        <f>FF!E20</f>
        <v>años</v>
      </c>
    </row>
    <row r="403" spans="4:11" x14ac:dyDescent="0.25">
      <c r="I403" s="142" t="str">
        <f>FF!C21</f>
        <v>ROI</v>
      </c>
      <c r="J403" s="138">
        <f>FF!D21</f>
        <v>1.4471590181310219</v>
      </c>
      <c r="K403" s="143"/>
    </row>
    <row r="404" spans="4:11" x14ac:dyDescent="0.25">
      <c r="I404" s="142" t="str">
        <f>FF!C22</f>
        <v>Flujo de Fondo Máximo Negativo</v>
      </c>
      <c r="J404" s="136">
        <f>FF!D22</f>
        <v>-16977867.102500614</v>
      </c>
      <c r="K404" s="143" t="str">
        <f>FF!E22</f>
        <v>US$</v>
      </c>
    </row>
    <row r="405" spans="4:11" x14ac:dyDescent="0.25">
      <c r="I405" s="142" t="str">
        <f>FF!C23</f>
        <v>Valor terminal del proyecto</v>
      </c>
      <c r="J405" s="136">
        <f>FF!D23</f>
        <v>25985144.813848071</v>
      </c>
      <c r="K405" s="143" t="str">
        <f>FF!E23</f>
        <v>US$</v>
      </c>
    </row>
    <row r="406" spans="4:11" ht="15.75" thickBot="1" x14ac:dyDescent="0.3">
      <c r="I406" s="144" t="str">
        <f>FF!C24</f>
        <v>Índice de Valor Presente</v>
      </c>
      <c r="J406" s="145">
        <f>FF!D24</f>
        <v>0.45937120651742103</v>
      </c>
      <c r="K406" s="146"/>
    </row>
    <row r="407" spans="4:11" x14ac:dyDescent="0.25">
      <c r="I407" s="7"/>
      <c r="J407" s="86"/>
      <c r="K407" s="7"/>
    </row>
    <row r="408" spans="4:11" x14ac:dyDescent="0.25">
      <c r="I408" s="7"/>
      <c r="J408" s="86"/>
      <c r="K408" s="7"/>
    </row>
    <row r="409" spans="4:11" x14ac:dyDescent="0.25">
      <c r="I409" s="7"/>
      <c r="J409" s="86"/>
      <c r="K409" s="7"/>
    </row>
    <row r="410" spans="4:11" x14ac:dyDescent="0.25">
      <c r="I410" s="7"/>
      <c r="J410" s="86"/>
      <c r="K410" s="7"/>
    </row>
    <row r="411" spans="4:11" x14ac:dyDescent="0.25">
      <c r="I411" s="7"/>
      <c r="J411" s="86"/>
      <c r="K411" s="7"/>
    </row>
    <row r="412" spans="4:11" x14ac:dyDescent="0.25">
      <c r="I412" s="7"/>
      <c r="J412" s="86"/>
      <c r="K412" s="7"/>
    </row>
    <row r="413" spans="4:11" x14ac:dyDescent="0.25">
      <c r="I413" s="7"/>
      <c r="J413" s="86"/>
      <c r="K413" s="7"/>
    </row>
    <row r="414" spans="4:11" x14ac:dyDescent="0.25">
      <c r="I414" s="7"/>
      <c r="J414" s="86"/>
      <c r="K414" s="7"/>
    </row>
    <row r="415" spans="4:11" x14ac:dyDescent="0.25">
      <c r="I415" s="7"/>
      <c r="J415" s="86"/>
      <c r="K415" s="7"/>
    </row>
    <row r="416" spans="4:11" x14ac:dyDescent="0.25">
      <c r="I416" s="7"/>
      <c r="J416" s="86"/>
      <c r="K416" s="7"/>
    </row>
    <row r="417" spans="2:17" x14ac:dyDescent="0.25">
      <c r="C417" s="5"/>
      <c r="D417" s="5"/>
      <c r="E417" s="5"/>
    </row>
    <row r="418" spans="2:17" x14ac:dyDescent="0.25">
      <c r="B418" s="506" t="s">
        <v>595</v>
      </c>
      <c r="C418" s="506"/>
      <c r="D418" s="506"/>
      <c r="E418" s="506"/>
      <c r="F418" s="506"/>
      <c r="G418" s="506"/>
      <c r="H418" s="506"/>
      <c r="I418" s="506"/>
      <c r="J418" s="506"/>
      <c r="K418" s="506"/>
      <c r="L418" s="506"/>
      <c r="M418" s="506"/>
      <c r="N418" s="506"/>
      <c r="O418" s="506"/>
      <c r="P418" s="506"/>
      <c r="Q418" s="506"/>
    </row>
    <row r="419" spans="2:17" ht="15.75" thickBot="1" x14ac:dyDescent="0.3"/>
    <row r="420" spans="2:17" ht="15.75" thickBot="1" x14ac:dyDescent="0.3">
      <c r="B420" s="3"/>
      <c r="C420" s="131" t="s">
        <v>23</v>
      </c>
      <c r="D420" s="132" t="s">
        <v>399</v>
      </c>
      <c r="E420" s="131" t="s">
        <v>400</v>
      </c>
      <c r="F420" s="131" t="s">
        <v>401</v>
      </c>
      <c r="G420" s="131" t="s">
        <v>403</v>
      </c>
      <c r="H420" s="131" t="s">
        <v>402</v>
      </c>
      <c r="I420" s="131" t="s">
        <v>404</v>
      </c>
      <c r="J420" s="131" t="s">
        <v>405</v>
      </c>
      <c r="K420" s="131" t="s">
        <v>406</v>
      </c>
      <c r="L420" s="131" t="s">
        <v>407</v>
      </c>
      <c r="M420" s="133" t="s">
        <v>408</v>
      </c>
      <c r="N420" s="147" t="s">
        <v>169</v>
      </c>
    </row>
    <row r="421" spans="2:17" x14ac:dyDescent="0.25">
      <c r="B421" s="129" t="s">
        <v>586</v>
      </c>
      <c r="C421" s="49"/>
      <c r="D421" s="36"/>
      <c r="E421" s="49"/>
      <c r="F421" s="49"/>
      <c r="G421" s="49"/>
      <c r="H421" s="49"/>
      <c r="I421" s="49"/>
      <c r="J421" s="49"/>
      <c r="K421" s="49"/>
      <c r="L421" s="49"/>
      <c r="M421" s="100"/>
      <c r="N421" s="100"/>
    </row>
    <row r="422" spans="2:17" x14ac:dyDescent="0.25">
      <c r="B422" s="35" t="s">
        <v>472</v>
      </c>
      <c r="C422" s="117">
        <f>FF!D30+C430</f>
        <v>7295095.2845006138</v>
      </c>
      <c r="D422" s="134"/>
      <c r="E422" s="117"/>
      <c r="F422" s="117"/>
      <c r="G422" s="117"/>
      <c r="H422" s="117"/>
      <c r="I422" s="117"/>
      <c r="J422" s="117"/>
      <c r="K422" s="117"/>
      <c r="L422" s="117"/>
      <c r="M422" s="127"/>
      <c r="N422" s="127">
        <f>SUM(C422:M422)</f>
        <v>7295095.2845006138</v>
      </c>
    </row>
    <row r="423" spans="2:17" x14ac:dyDescent="0.25">
      <c r="B423" s="35" t="s">
        <v>596</v>
      </c>
      <c r="C423" s="117">
        <f>Préstamo!E4</f>
        <v>10411582.6</v>
      </c>
      <c r="D423" s="134"/>
      <c r="E423" s="117"/>
      <c r="F423" s="117"/>
      <c r="G423" s="117"/>
      <c r="H423" s="117"/>
      <c r="I423" s="117"/>
      <c r="J423" s="117"/>
      <c r="K423" s="117"/>
      <c r="L423" s="117"/>
      <c r="M423" s="127"/>
      <c r="N423" s="127">
        <f t="shared" ref="N423:N434" si="16">SUM(C423:M423)</f>
        <v>10411582.6</v>
      </c>
    </row>
    <row r="424" spans="2:17" x14ac:dyDescent="0.25">
      <c r="B424" s="35" t="s">
        <v>587</v>
      </c>
      <c r="C424" s="117">
        <f>C390</f>
        <v>0</v>
      </c>
      <c r="D424" s="134">
        <f t="shared" ref="D424:M424" si="17">D390</f>
        <v>9000000</v>
      </c>
      <c r="E424" s="117">
        <f t="shared" si="17"/>
        <v>10125000</v>
      </c>
      <c r="F424" s="117">
        <f t="shared" si="17"/>
        <v>11250000</v>
      </c>
      <c r="G424" s="117">
        <f t="shared" si="17"/>
        <v>12375000</v>
      </c>
      <c r="H424" s="117">
        <f t="shared" si="17"/>
        <v>12375000</v>
      </c>
      <c r="I424" s="117">
        <f t="shared" si="17"/>
        <v>12375000</v>
      </c>
      <c r="J424" s="117">
        <f t="shared" si="17"/>
        <v>12375000</v>
      </c>
      <c r="K424" s="117">
        <f t="shared" si="17"/>
        <v>12375000</v>
      </c>
      <c r="L424" s="117">
        <f t="shared" si="17"/>
        <v>12375000</v>
      </c>
      <c r="M424" s="127">
        <f t="shared" si="17"/>
        <v>12375000</v>
      </c>
      <c r="N424" s="127">
        <f t="shared" si="16"/>
        <v>117000000</v>
      </c>
    </row>
    <row r="425" spans="2:17" ht="15.75" thickBot="1" x14ac:dyDescent="0.3">
      <c r="B425" s="38" t="s">
        <v>409</v>
      </c>
      <c r="C425" s="125"/>
      <c r="D425" s="135"/>
      <c r="E425" s="125"/>
      <c r="F425" s="125"/>
      <c r="G425" s="125"/>
      <c r="H425" s="125"/>
      <c r="I425" s="125"/>
      <c r="J425" s="125"/>
      <c r="K425" s="125"/>
      <c r="L425" s="125"/>
      <c r="M425" s="130">
        <f>M391</f>
        <v>5680079.8758667046</v>
      </c>
      <c r="N425" s="127">
        <f t="shared" si="16"/>
        <v>5680079.8758667046</v>
      </c>
    </row>
    <row r="426" spans="2:17" ht="15.75" thickBot="1" x14ac:dyDescent="0.3">
      <c r="B426" s="13" t="s">
        <v>588</v>
      </c>
      <c r="C426" s="118">
        <f>SUM(C422:C425)</f>
        <v>17706677.884500615</v>
      </c>
      <c r="D426" s="128">
        <f t="shared" ref="D426:M426" si="18">SUM(D422:D425)</f>
        <v>9000000</v>
      </c>
      <c r="E426" s="118">
        <f t="shared" si="18"/>
        <v>10125000</v>
      </c>
      <c r="F426" s="118">
        <f t="shared" si="18"/>
        <v>11250000</v>
      </c>
      <c r="G426" s="118">
        <f t="shared" si="18"/>
        <v>12375000</v>
      </c>
      <c r="H426" s="118">
        <f t="shared" si="18"/>
        <v>12375000</v>
      </c>
      <c r="I426" s="118">
        <f t="shared" si="18"/>
        <v>12375000</v>
      </c>
      <c r="J426" s="118">
        <f t="shared" si="18"/>
        <v>12375000</v>
      </c>
      <c r="K426" s="118">
        <f t="shared" si="18"/>
        <v>12375000</v>
      </c>
      <c r="L426" s="118">
        <f t="shared" si="18"/>
        <v>12375000</v>
      </c>
      <c r="M426" s="114">
        <f t="shared" si="18"/>
        <v>18055079.875866704</v>
      </c>
      <c r="N426" s="114">
        <f>SUM(N422:N425)</f>
        <v>140386757.76036733</v>
      </c>
    </row>
    <row r="427" spans="2:17" x14ac:dyDescent="0.25">
      <c r="B427" s="129" t="s">
        <v>589</v>
      </c>
      <c r="C427" s="49"/>
      <c r="D427" s="36"/>
      <c r="E427" s="49"/>
      <c r="F427" s="49"/>
      <c r="G427" s="49"/>
      <c r="H427" s="49"/>
      <c r="I427" s="49"/>
      <c r="J427" s="49"/>
      <c r="K427" s="49"/>
      <c r="L427" s="49"/>
      <c r="M427" s="100"/>
      <c r="N427" s="127"/>
    </row>
    <row r="428" spans="2:17" x14ac:dyDescent="0.25">
      <c r="B428" s="35" t="s">
        <v>590</v>
      </c>
      <c r="C428" s="117">
        <f>Amort!AT107+Amort!AU107</f>
        <v>16395492.685528614</v>
      </c>
      <c r="D428" s="134">
        <f>Amort!AT108+Amort!AU108</f>
        <v>137300.43920000002</v>
      </c>
      <c r="E428" s="117">
        <f>Amort!AT109+Amort!AU109</f>
        <v>0</v>
      </c>
      <c r="F428" s="117">
        <f>Amort!AT110+Amort!AU110</f>
        <v>338384.4</v>
      </c>
      <c r="G428" s="117">
        <f>Amort!AT111+Amort!AU111</f>
        <v>236428.43932861101</v>
      </c>
      <c r="H428" s="117">
        <f>Amort!AT112+Amort!AU112</f>
        <v>39875</v>
      </c>
      <c r="I428" s="117">
        <f>Amort!AT113+Amort!AU113</f>
        <v>237300.43920000002</v>
      </c>
      <c r="J428" s="117">
        <f>Amort!AT114+Amort!AU114</f>
        <v>0</v>
      </c>
      <c r="K428" s="117">
        <f>Amort!AT115+Amort!AU115</f>
        <v>0</v>
      </c>
      <c r="L428" s="117">
        <f>Amort!AT116+Amort!AU116</f>
        <v>0</v>
      </c>
      <c r="M428" s="127">
        <f>Amort!AT117+Amort!AU117</f>
        <v>0</v>
      </c>
      <c r="N428" s="127">
        <f t="shared" si="16"/>
        <v>17384781.403257225</v>
      </c>
    </row>
    <row r="429" spans="2:17" x14ac:dyDescent="0.25">
      <c r="B429" s="35" t="s">
        <v>591</v>
      </c>
      <c r="C429" s="117">
        <f>Amort!AV107</f>
        <v>1300000</v>
      </c>
      <c r="D429" s="134">
        <f>Amort!AV108</f>
        <v>0</v>
      </c>
      <c r="E429" s="117">
        <f>Amort!AV109</f>
        <v>0</v>
      </c>
      <c r="F429" s="117">
        <f>Amort!AV110</f>
        <v>0</v>
      </c>
      <c r="G429" s="117">
        <f>Amort!AV111</f>
        <v>0</v>
      </c>
      <c r="H429" s="117">
        <f>Amort!AV112</f>
        <v>0</v>
      </c>
      <c r="I429" s="117">
        <f>Amort!AV113</f>
        <v>0</v>
      </c>
      <c r="J429" s="117">
        <f>Amort!AV114</f>
        <v>0</v>
      </c>
      <c r="K429" s="117">
        <f>Amort!AV115</f>
        <v>0</v>
      </c>
      <c r="L429" s="117">
        <f>Amort!AV116</f>
        <v>0</v>
      </c>
      <c r="M429" s="127">
        <f>Amort!AV117</f>
        <v>0</v>
      </c>
      <c r="N429" s="127">
        <f t="shared" si="16"/>
        <v>1300000</v>
      </c>
    </row>
    <row r="430" spans="2:17" x14ac:dyDescent="0.25">
      <c r="B430" s="35" t="s">
        <v>597</v>
      </c>
      <c r="C430" s="117">
        <f>FF!$F$30+FF!$I$30-Costos!AG24</f>
        <v>11185.198972</v>
      </c>
      <c r="D430" s="134">
        <f>FF!$F$31+FF!$I$31-Costos!AG25</f>
        <v>5706097.9998418679</v>
      </c>
      <c r="E430" s="117">
        <f>FF!$F$32+FF!$I$32-Costos!AG26</f>
        <v>6231237.8438362163</v>
      </c>
      <c r="F430" s="117">
        <f>FF!$F$33+FF!$I$33-Costos!AG27</f>
        <v>6719146.4232134977</v>
      </c>
      <c r="G430" s="117">
        <f>FF!$F$34+FF!$I$34-Costos!AG28</f>
        <v>7307122.4179970287</v>
      </c>
      <c r="H430" s="117">
        <f>FF!$F$35+FF!$I$35-Costos!AG29</f>
        <v>7542659.5604341961</v>
      </c>
      <c r="I430" s="117">
        <f>FF!$F$36+FF!$I$36-Costos!AG30</f>
        <v>8098524.5851048976</v>
      </c>
      <c r="J430" s="117">
        <f>FF!$F$37+FF!$I$37-Costos!AG31</f>
        <v>8420903.5729060974</v>
      </c>
      <c r="K430" s="117">
        <f>FF!$F$38+FF!$I$38-Costos!AG32</f>
        <v>8671785.990740234</v>
      </c>
      <c r="L430" s="117">
        <f>FF!$F$39+FF!$I$39-Costos!AG33</f>
        <v>8922668.4085743688</v>
      </c>
      <c r="M430" s="127">
        <f>FF!$F$40+FF!$I$40-Costos!AG34</f>
        <v>9173550.8264085036</v>
      </c>
      <c r="N430" s="127">
        <f t="shared" si="16"/>
        <v>76804882.828028917</v>
      </c>
    </row>
    <row r="431" spans="2:17" x14ac:dyDescent="0.25">
      <c r="B431" s="35" t="s">
        <v>598</v>
      </c>
      <c r="C431" s="117">
        <f>Costos!$AG$24</f>
        <v>0</v>
      </c>
      <c r="D431" s="134">
        <f>Costos!$AG$25</f>
        <v>624694.95600000001</v>
      </c>
      <c r="E431" s="117">
        <f>Costos!$AG$26</f>
        <v>624694.95600000001</v>
      </c>
      <c r="F431" s="117">
        <f>Costos!$AG$27</f>
        <v>624694.95600000001</v>
      </c>
      <c r="G431" s="117">
        <f>Costos!$AG$28</f>
        <v>546608.08649999998</v>
      </c>
      <c r="H431" s="117">
        <f>Costos!$AG$29</f>
        <v>468521.217</v>
      </c>
      <c r="I431" s="117">
        <f>Costos!$AG$30</f>
        <v>390434.34749999997</v>
      </c>
      <c r="J431" s="117">
        <f>Costos!$AG$31</f>
        <v>312347.478</v>
      </c>
      <c r="K431" s="117">
        <f>Costos!$AG$32</f>
        <v>234260.60849999997</v>
      </c>
      <c r="L431" s="117">
        <f>Costos!$AG$33</f>
        <v>156173.73899999997</v>
      </c>
      <c r="M431" s="127">
        <f>Costos!$AG$34</f>
        <v>78086.869499999972</v>
      </c>
      <c r="N431" s="127">
        <f t="shared" si="16"/>
        <v>4060517.2140000006</v>
      </c>
    </row>
    <row r="432" spans="2:17" x14ac:dyDescent="0.25">
      <c r="B432" s="35" t="s">
        <v>599</v>
      </c>
      <c r="C432" s="117">
        <f>Préstamo!$D$11</f>
        <v>0</v>
      </c>
      <c r="D432" s="134">
        <f>Préstamo!$D$12</f>
        <v>0</v>
      </c>
      <c r="E432" s="117">
        <f>Préstamo!$D$13</f>
        <v>0</v>
      </c>
      <c r="F432" s="117">
        <f>Préstamo!$D$14</f>
        <v>1301447.825</v>
      </c>
      <c r="G432" s="117">
        <f>Préstamo!$D$15</f>
        <v>1301447.825</v>
      </c>
      <c r="H432" s="117">
        <f>Préstamo!$D$16</f>
        <v>1301447.825</v>
      </c>
      <c r="I432" s="117">
        <f>Préstamo!$D$17</f>
        <v>1301447.825</v>
      </c>
      <c r="J432" s="117">
        <f>Préstamo!$D$18</f>
        <v>1301447.825</v>
      </c>
      <c r="K432" s="117">
        <f>Préstamo!$D$19</f>
        <v>1301447.825</v>
      </c>
      <c r="L432" s="117">
        <f>Préstamo!$D$20</f>
        <v>1301447.825</v>
      </c>
      <c r="M432" s="127">
        <f>Préstamo!$D$21</f>
        <v>1301447.825</v>
      </c>
      <c r="N432" s="127">
        <f t="shared" si="16"/>
        <v>10411582.6</v>
      </c>
    </row>
    <row r="433" spans="2:14" ht="15.75" thickBot="1" x14ac:dyDescent="0.3">
      <c r="B433" s="38" t="s">
        <v>592</v>
      </c>
      <c r="C433" s="125">
        <f>C434-SUM(C428:C432)</f>
        <v>0</v>
      </c>
      <c r="D433" s="125">
        <f t="shared" ref="D433:M433" si="19">D434-SUM(D428:D432)</f>
        <v>2531906.6049581319</v>
      </c>
      <c r="E433" s="125">
        <f t="shared" si="19"/>
        <v>3269067.2001637835</v>
      </c>
      <c r="F433" s="125">
        <f t="shared" si="19"/>
        <v>2266326.3957865015</v>
      </c>
      <c r="G433" s="125">
        <f t="shared" si="19"/>
        <v>2983393.231174361</v>
      </c>
      <c r="H433" s="125">
        <f t="shared" si="19"/>
        <v>3022496.3975658044</v>
      </c>
      <c r="I433" s="125">
        <f t="shared" si="19"/>
        <v>2347292.803195104</v>
      </c>
      <c r="J433" s="125">
        <f t="shared" si="19"/>
        <v>2340301.1240939032</v>
      </c>
      <c r="K433" s="125">
        <f t="shared" si="19"/>
        <v>2167505.5757597666</v>
      </c>
      <c r="L433" s="125">
        <f t="shared" si="19"/>
        <v>1994710.0274256319</v>
      </c>
      <c r="M433" s="125">
        <f t="shared" si="19"/>
        <v>7501994.3549582008</v>
      </c>
      <c r="N433" s="127">
        <f t="shared" si="16"/>
        <v>30424993.715081185</v>
      </c>
    </row>
    <row r="434" spans="2:14" ht="15.75" thickBot="1" x14ac:dyDescent="0.3">
      <c r="B434" s="13" t="s">
        <v>593</v>
      </c>
      <c r="C434" s="118">
        <f>C426</f>
        <v>17706677.884500615</v>
      </c>
      <c r="D434" s="128">
        <f t="shared" ref="D434:M434" si="20">D426</f>
        <v>9000000</v>
      </c>
      <c r="E434" s="118">
        <f t="shared" si="20"/>
        <v>10125000</v>
      </c>
      <c r="F434" s="118">
        <f t="shared" si="20"/>
        <v>11250000</v>
      </c>
      <c r="G434" s="118">
        <f t="shared" si="20"/>
        <v>12375000</v>
      </c>
      <c r="H434" s="118">
        <f t="shared" si="20"/>
        <v>12375000</v>
      </c>
      <c r="I434" s="118">
        <f t="shared" si="20"/>
        <v>12375000</v>
      </c>
      <c r="J434" s="118">
        <f t="shared" si="20"/>
        <v>12375000</v>
      </c>
      <c r="K434" s="118">
        <f t="shared" si="20"/>
        <v>12375000</v>
      </c>
      <c r="L434" s="118">
        <f t="shared" si="20"/>
        <v>12375000</v>
      </c>
      <c r="M434" s="114">
        <f t="shared" si="20"/>
        <v>18055079.875866704</v>
      </c>
      <c r="N434" s="114">
        <f t="shared" si="16"/>
        <v>140386757.76036733</v>
      </c>
    </row>
    <row r="435" spans="2:14" ht="15.75" thickBot="1" x14ac:dyDescent="0.3"/>
    <row r="436" spans="2:14" x14ac:dyDescent="0.25">
      <c r="C436" s="5"/>
      <c r="E436" s="5"/>
      <c r="I436" s="139" t="str">
        <f>FF!C43</f>
        <v>VAN</v>
      </c>
      <c r="J436" s="140">
        <f>FF!D43</f>
        <v>10600883.98424973</v>
      </c>
      <c r="K436" s="141" t="str">
        <f>FF!E43</f>
        <v>US$</v>
      </c>
      <c r="N436" s="5"/>
    </row>
    <row r="437" spans="2:14" x14ac:dyDescent="0.25">
      <c r="D437" s="148"/>
      <c r="I437" s="142" t="str">
        <f>FF!C44</f>
        <v>TIR</v>
      </c>
      <c r="J437" s="137">
        <f>FF!D44</f>
        <v>0.36310335154575113</v>
      </c>
      <c r="K437" s="143"/>
    </row>
    <row r="438" spans="2:14" x14ac:dyDescent="0.25">
      <c r="I438" s="142" t="str">
        <f>FF!C45</f>
        <v>Repago</v>
      </c>
      <c r="J438" s="138">
        <f>FF!D45</f>
        <v>2.6592702102206163</v>
      </c>
      <c r="K438" s="143" t="str">
        <f>FF!E45</f>
        <v>años</v>
      </c>
    </row>
    <row r="439" spans="2:14" x14ac:dyDescent="0.25">
      <c r="I439" s="142" t="str">
        <f>FF!C46</f>
        <v>ROI</v>
      </c>
      <c r="J439" s="138">
        <f>FF!D46</f>
        <v>2.7957624348969037</v>
      </c>
      <c r="K439" s="143"/>
    </row>
    <row r="440" spans="2:14" x14ac:dyDescent="0.25">
      <c r="I440" s="142" t="str">
        <f>FF!C47</f>
        <v>FFMN</v>
      </c>
      <c r="J440" s="136">
        <f>FF!D47</f>
        <v>-7295095.2845006138</v>
      </c>
      <c r="K440" s="143" t="str">
        <f>FF!E47</f>
        <v>US$</v>
      </c>
    </row>
    <row r="441" spans="2:14" x14ac:dyDescent="0.25">
      <c r="I441" s="142" t="str">
        <f>FF!C48</f>
        <v>Valor terminal del proyecto</v>
      </c>
      <c r="J441" s="136">
        <f>FF!D48</f>
        <v>23129898.430580568</v>
      </c>
      <c r="K441" s="143" t="str">
        <f>FF!E48</f>
        <v>US$</v>
      </c>
    </row>
    <row r="442" spans="2:14" ht="15.75" thickBot="1" x14ac:dyDescent="0.3">
      <c r="I442" s="144" t="str">
        <f>FF!C49</f>
        <v>Índice de Valor Presente</v>
      </c>
      <c r="J442" s="145">
        <f>FF!D49</f>
        <v>1.3279065996991124</v>
      </c>
      <c r="K442" s="146"/>
    </row>
    <row r="443" spans="2:14" x14ac:dyDescent="0.25">
      <c r="I443" s="7"/>
      <c r="J443" s="86"/>
      <c r="K443" s="7"/>
    </row>
    <row r="444" spans="2:14" x14ac:dyDescent="0.25">
      <c r="I444" s="7"/>
      <c r="J444" s="86"/>
      <c r="K444" s="7"/>
    </row>
    <row r="445" spans="2:14" x14ac:dyDescent="0.25">
      <c r="I445" s="7"/>
      <c r="J445" s="86"/>
      <c r="K445" s="7"/>
    </row>
    <row r="446" spans="2:14" x14ac:dyDescent="0.25">
      <c r="I446" s="7"/>
      <c r="J446" s="86"/>
      <c r="K446" s="7"/>
    </row>
    <row r="447" spans="2:14" x14ac:dyDescent="0.25">
      <c r="I447" s="7"/>
      <c r="J447" s="86"/>
      <c r="K447" s="7"/>
    </row>
    <row r="448" spans="2:14" x14ac:dyDescent="0.25">
      <c r="I448" s="7"/>
      <c r="J448" s="86"/>
      <c r="K448" s="7"/>
    </row>
    <row r="449" spans="2:17" x14ac:dyDescent="0.25">
      <c r="I449" s="7"/>
      <c r="J449" s="86"/>
      <c r="K449" s="7"/>
    </row>
    <row r="450" spans="2:17" x14ac:dyDescent="0.25">
      <c r="I450" s="7"/>
      <c r="J450" s="86"/>
      <c r="K450" s="7"/>
    </row>
    <row r="451" spans="2:17" x14ac:dyDescent="0.25">
      <c r="I451" s="7"/>
      <c r="J451" s="86"/>
      <c r="K451" s="7"/>
    </row>
    <row r="452" spans="2:17" x14ac:dyDescent="0.25">
      <c r="I452" s="7"/>
      <c r="J452" s="86"/>
      <c r="K452" s="7"/>
    </row>
    <row r="454" spans="2:17" x14ac:dyDescent="0.25">
      <c r="B454" s="506" t="s">
        <v>600</v>
      </c>
      <c r="C454" s="506"/>
      <c r="D454" s="506"/>
      <c r="E454" s="506"/>
      <c r="F454" s="506"/>
      <c r="G454" s="506"/>
      <c r="H454" s="506"/>
      <c r="I454" s="506"/>
      <c r="J454" s="506"/>
      <c r="K454" s="506"/>
      <c r="L454" s="506"/>
      <c r="M454" s="506"/>
      <c r="N454" s="506"/>
      <c r="O454" s="506"/>
      <c r="P454" s="506"/>
      <c r="Q454" s="506"/>
    </row>
    <row r="487" spans="2:17" x14ac:dyDescent="0.25">
      <c r="B487" s="506" t="s">
        <v>601</v>
      </c>
      <c r="C487" s="506"/>
      <c r="D487" s="506"/>
      <c r="E487" s="506"/>
      <c r="F487" s="506"/>
      <c r="G487" s="506"/>
      <c r="H487" s="506"/>
      <c r="I487" s="506"/>
      <c r="J487" s="506"/>
      <c r="K487" s="506"/>
      <c r="L487" s="506"/>
      <c r="M487" s="506"/>
      <c r="N487" s="506"/>
      <c r="O487" s="506"/>
      <c r="P487" s="506"/>
      <c r="Q487" s="506"/>
    </row>
  </sheetData>
  <mergeCells count="22">
    <mergeCell ref="B487:Q487"/>
    <mergeCell ref="A2:P2"/>
    <mergeCell ref="G7:G19"/>
    <mergeCell ref="G20:G28"/>
    <mergeCell ref="G29:G34"/>
    <mergeCell ref="N7:N19"/>
    <mergeCell ref="N20:N30"/>
    <mergeCell ref="N31:N36"/>
    <mergeCell ref="E182:E194"/>
    <mergeCell ref="E195:E200"/>
    <mergeCell ref="B203:Q203"/>
    <mergeCell ref="B40:Q40"/>
    <mergeCell ref="B84:Q84"/>
    <mergeCell ref="B128:Q128"/>
    <mergeCell ref="B165:Q165"/>
    <mergeCell ref="E145:E156"/>
    <mergeCell ref="B454:Q454"/>
    <mergeCell ref="E157:E162"/>
    <mergeCell ref="B231:Q231"/>
    <mergeCell ref="B308:Q308"/>
    <mergeCell ref="B385:Q385"/>
    <mergeCell ref="B418:Q418"/>
  </mergeCells>
  <phoneticPr fontId="7" type="noConversion"/>
  <pageMargins left="0.7" right="0.7" top="0.75" bottom="0.75" header="0.3" footer="0.3"/>
  <pageSetup orientation="portrait" horizontalDpi="30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Q33"/>
  <sheetViews>
    <sheetView workbookViewId="0">
      <selection activeCell="E3" sqref="E3"/>
    </sheetView>
  </sheetViews>
  <sheetFormatPr baseColWidth="10" defaultRowHeight="15" x14ac:dyDescent="0.25"/>
  <cols>
    <col min="3" max="3" width="14.140625" bestFit="1" customWidth="1"/>
    <col min="4" max="4" width="18.28515625" bestFit="1" customWidth="1"/>
    <col min="5" max="5" width="11.5703125" bestFit="1" customWidth="1"/>
    <col min="6" max="7" width="14.42578125" bestFit="1" customWidth="1"/>
    <col min="8" max="8" width="12" bestFit="1" customWidth="1"/>
    <col min="9" max="10" width="14.42578125" bestFit="1" customWidth="1"/>
    <col min="11" max="11" width="12" bestFit="1" customWidth="1"/>
    <col min="12" max="13" width="14.42578125" bestFit="1" customWidth="1"/>
    <col min="14" max="14" width="12" bestFit="1" customWidth="1"/>
    <col min="15" max="16" width="15.28515625" bestFit="1" customWidth="1"/>
  </cols>
  <sheetData>
    <row r="1" spans="2:16" x14ac:dyDescent="0.25">
      <c r="D1" s="3" t="s">
        <v>602</v>
      </c>
      <c r="E1" s="3" t="s">
        <v>603</v>
      </c>
      <c r="F1" s="3" t="s">
        <v>604</v>
      </c>
    </row>
    <row r="2" spans="2:16" x14ac:dyDescent="0.25">
      <c r="B2" t="s">
        <v>2</v>
      </c>
      <c r="D2" s="239"/>
      <c r="E2" s="241">
        <v>900</v>
      </c>
      <c r="F2" s="242" t="s">
        <v>22</v>
      </c>
    </row>
    <row r="3" spans="2:16" x14ac:dyDescent="0.25">
      <c r="B3" t="s">
        <v>3</v>
      </c>
      <c r="D3" s="239"/>
      <c r="E3" s="242">
        <v>400</v>
      </c>
      <c r="F3" s="242"/>
    </row>
    <row r="4" spans="2:16" x14ac:dyDescent="0.25">
      <c r="B4" t="s">
        <v>4</v>
      </c>
      <c r="D4" s="239"/>
      <c r="E4" s="242">
        <v>1500</v>
      </c>
      <c r="F4" s="242"/>
    </row>
    <row r="5" spans="2:16" x14ac:dyDescent="0.25">
      <c r="B5" t="s">
        <v>5</v>
      </c>
      <c r="D5" s="239"/>
      <c r="E5" s="242"/>
      <c r="F5" s="242"/>
    </row>
    <row r="6" spans="2:16" ht="15.75" thickBot="1" x14ac:dyDescent="0.3"/>
    <row r="7" spans="2:16" s="1" customFormat="1" ht="15.75" thickBot="1" x14ac:dyDescent="0.3">
      <c r="B7" s="116" t="s">
        <v>24</v>
      </c>
      <c r="C7" s="116" t="s">
        <v>25</v>
      </c>
      <c r="D7" s="157" t="s">
        <v>8</v>
      </c>
      <c r="E7" s="158" t="s">
        <v>9</v>
      </c>
      <c r="F7" s="147" t="s">
        <v>10</v>
      </c>
      <c r="G7" s="157" t="s">
        <v>11</v>
      </c>
      <c r="H7" s="158" t="s">
        <v>12</v>
      </c>
      <c r="I7" s="147" t="s">
        <v>13</v>
      </c>
      <c r="J7" s="157" t="s">
        <v>14</v>
      </c>
      <c r="K7" s="158" t="s">
        <v>15</v>
      </c>
      <c r="L7" s="147" t="s">
        <v>16</v>
      </c>
      <c r="M7" s="157" t="s">
        <v>17</v>
      </c>
      <c r="N7" s="158" t="s">
        <v>18</v>
      </c>
      <c r="O7" s="147" t="s">
        <v>19</v>
      </c>
      <c r="P7" s="116" t="s">
        <v>20</v>
      </c>
    </row>
    <row r="8" spans="2:16" x14ac:dyDescent="0.25">
      <c r="B8" s="37">
        <f>General!$D$3+C8</f>
        <v>2024</v>
      </c>
      <c r="C8" s="37">
        <v>0</v>
      </c>
      <c r="D8" s="243">
        <v>0</v>
      </c>
      <c r="E8" s="2">
        <f t="shared" ref="E8:E18" si="0">$E$2</f>
        <v>900</v>
      </c>
      <c r="F8" s="151">
        <f>D8*E8</f>
        <v>0</v>
      </c>
      <c r="G8" s="243">
        <v>0</v>
      </c>
      <c r="H8">
        <f t="shared" ref="H8:H18" si="1">$E$3</f>
        <v>400</v>
      </c>
      <c r="I8" s="151">
        <f>G8*H8</f>
        <v>0</v>
      </c>
      <c r="J8" s="246">
        <v>0</v>
      </c>
      <c r="K8">
        <f t="shared" ref="K8:K18" si="2">$E$4</f>
        <v>1500</v>
      </c>
      <c r="L8" s="151">
        <f>J8*K8</f>
        <v>0</v>
      </c>
      <c r="M8" s="243"/>
      <c r="N8">
        <f t="shared" ref="N8:N18" si="3">$E$5</f>
        <v>0</v>
      </c>
      <c r="O8" s="151">
        <f>M8*N8</f>
        <v>0</v>
      </c>
      <c r="P8" s="154">
        <f>F8+I8+L8+O8</f>
        <v>0</v>
      </c>
    </row>
    <row r="9" spans="2:16" x14ac:dyDescent="0.25">
      <c r="B9" s="37">
        <f>General!$D$3+C9</f>
        <v>2025</v>
      </c>
      <c r="C9" s="37">
        <v>1</v>
      </c>
      <c r="D9" s="244">
        <v>8000</v>
      </c>
      <c r="E9" s="2">
        <f t="shared" si="0"/>
        <v>900</v>
      </c>
      <c r="F9" s="151">
        <f>D9*E9</f>
        <v>7200000</v>
      </c>
      <c r="G9" s="246">
        <v>2400</v>
      </c>
      <c r="H9">
        <f t="shared" si="1"/>
        <v>400</v>
      </c>
      <c r="I9" s="151">
        <f t="shared" ref="I9:I18" si="4">G9*H9</f>
        <v>960000</v>
      </c>
      <c r="J9" s="246">
        <v>560</v>
      </c>
      <c r="K9">
        <f t="shared" si="2"/>
        <v>1500</v>
      </c>
      <c r="L9" s="151">
        <f t="shared" ref="L9:L18" si="5">J9*K9</f>
        <v>840000</v>
      </c>
      <c r="M9" s="243"/>
      <c r="N9">
        <f t="shared" si="3"/>
        <v>0</v>
      </c>
      <c r="O9" s="151">
        <f t="shared" ref="O9:O18" si="6">M9*N9</f>
        <v>0</v>
      </c>
      <c r="P9" s="154">
        <f>F9+I9+L9+O9</f>
        <v>9000000</v>
      </c>
    </row>
    <row r="10" spans="2:16" x14ac:dyDescent="0.25">
      <c r="B10" s="37">
        <f>General!$D$3+C10</f>
        <v>2026</v>
      </c>
      <c r="C10" s="37">
        <v>2</v>
      </c>
      <c r="D10" s="244">
        <v>9000</v>
      </c>
      <c r="E10" s="2">
        <f t="shared" si="0"/>
        <v>900</v>
      </c>
      <c r="F10" s="151">
        <f t="shared" ref="F10:F18" si="7">D10*E10</f>
        <v>8100000</v>
      </c>
      <c r="G10" s="246">
        <v>2700</v>
      </c>
      <c r="H10">
        <f t="shared" si="1"/>
        <v>400</v>
      </c>
      <c r="I10" s="151">
        <f t="shared" si="4"/>
        <v>1080000</v>
      </c>
      <c r="J10" s="246">
        <v>630.00000000000011</v>
      </c>
      <c r="K10">
        <f t="shared" si="2"/>
        <v>1500</v>
      </c>
      <c r="L10" s="151">
        <f t="shared" si="5"/>
        <v>945000.00000000012</v>
      </c>
      <c r="M10" s="243"/>
      <c r="N10">
        <f t="shared" si="3"/>
        <v>0</v>
      </c>
      <c r="O10" s="151">
        <f t="shared" si="6"/>
        <v>0</v>
      </c>
      <c r="P10" s="154">
        <f t="shared" ref="P10:P18" si="8">F10+I10+L10+O10</f>
        <v>10125000</v>
      </c>
    </row>
    <row r="11" spans="2:16" x14ac:dyDescent="0.25">
      <c r="B11" s="37">
        <f>General!$D$3+C11</f>
        <v>2027</v>
      </c>
      <c r="C11" s="37">
        <v>3</v>
      </c>
      <c r="D11" s="244">
        <v>10000</v>
      </c>
      <c r="E11" s="2">
        <f t="shared" si="0"/>
        <v>900</v>
      </c>
      <c r="F11" s="151">
        <f t="shared" si="7"/>
        <v>9000000</v>
      </c>
      <c r="G11" s="246">
        <v>3000</v>
      </c>
      <c r="H11">
        <f t="shared" si="1"/>
        <v>400</v>
      </c>
      <c r="I11" s="151">
        <f t="shared" si="4"/>
        <v>1200000</v>
      </c>
      <c r="J11" s="246">
        <v>700.00000000000011</v>
      </c>
      <c r="K11">
        <f t="shared" si="2"/>
        <v>1500</v>
      </c>
      <c r="L11" s="151">
        <f t="shared" si="5"/>
        <v>1050000.0000000002</v>
      </c>
      <c r="M11" s="243"/>
      <c r="N11">
        <f t="shared" si="3"/>
        <v>0</v>
      </c>
      <c r="O11" s="151">
        <f t="shared" si="6"/>
        <v>0</v>
      </c>
      <c r="P11" s="154">
        <f t="shared" si="8"/>
        <v>11250000</v>
      </c>
    </row>
    <row r="12" spans="2:16" x14ac:dyDescent="0.25">
      <c r="B12" s="37">
        <f>General!$D$3+C12</f>
        <v>2028</v>
      </c>
      <c r="C12" s="37">
        <v>4</v>
      </c>
      <c r="D12" s="244">
        <v>11000</v>
      </c>
      <c r="E12" s="2">
        <f t="shared" si="0"/>
        <v>900</v>
      </c>
      <c r="F12" s="151">
        <f t="shared" si="7"/>
        <v>9900000</v>
      </c>
      <c r="G12" s="246">
        <v>3300</v>
      </c>
      <c r="H12">
        <f t="shared" si="1"/>
        <v>400</v>
      </c>
      <c r="I12" s="151">
        <f t="shared" si="4"/>
        <v>1320000</v>
      </c>
      <c r="J12" s="246">
        <v>770.00000000000011</v>
      </c>
      <c r="K12">
        <f t="shared" si="2"/>
        <v>1500</v>
      </c>
      <c r="L12" s="151">
        <f t="shared" si="5"/>
        <v>1155000.0000000002</v>
      </c>
      <c r="M12" s="243"/>
      <c r="N12">
        <f t="shared" si="3"/>
        <v>0</v>
      </c>
      <c r="O12" s="151">
        <f t="shared" si="6"/>
        <v>0</v>
      </c>
      <c r="P12" s="154">
        <f t="shared" si="8"/>
        <v>12375000</v>
      </c>
    </row>
    <row r="13" spans="2:16" x14ac:dyDescent="0.25">
      <c r="B13" s="37">
        <f>General!$D$3+C13</f>
        <v>2029</v>
      </c>
      <c r="C13" s="37">
        <v>5</v>
      </c>
      <c r="D13" s="244">
        <v>11000</v>
      </c>
      <c r="E13" s="2">
        <f t="shared" si="0"/>
        <v>900</v>
      </c>
      <c r="F13" s="151">
        <f t="shared" si="7"/>
        <v>9900000</v>
      </c>
      <c r="G13" s="246">
        <v>3300</v>
      </c>
      <c r="H13">
        <f t="shared" si="1"/>
        <v>400</v>
      </c>
      <c r="I13" s="151">
        <f t="shared" si="4"/>
        <v>1320000</v>
      </c>
      <c r="J13" s="246">
        <v>770.00000000000011</v>
      </c>
      <c r="K13">
        <f t="shared" si="2"/>
        <v>1500</v>
      </c>
      <c r="L13" s="151">
        <f t="shared" si="5"/>
        <v>1155000.0000000002</v>
      </c>
      <c r="M13" s="243"/>
      <c r="N13">
        <f t="shared" si="3"/>
        <v>0</v>
      </c>
      <c r="O13" s="151">
        <f t="shared" si="6"/>
        <v>0</v>
      </c>
      <c r="P13" s="154">
        <f t="shared" si="8"/>
        <v>12375000</v>
      </c>
    </row>
    <row r="14" spans="2:16" x14ac:dyDescent="0.25">
      <c r="B14" s="37">
        <f>General!$D$3+C14</f>
        <v>2030</v>
      </c>
      <c r="C14" s="37">
        <v>6</v>
      </c>
      <c r="D14" s="244">
        <v>11000</v>
      </c>
      <c r="E14" s="2">
        <f t="shared" si="0"/>
        <v>900</v>
      </c>
      <c r="F14" s="151">
        <f t="shared" si="7"/>
        <v>9900000</v>
      </c>
      <c r="G14" s="246">
        <v>3300</v>
      </c>
      <c r="H14">
        <f t="shared" si="1"/>
        <v>400</v>
      </c>
      <c r="I14" s="151">
        <f t="shared" si="4"/>
        <v>1320000</v>
      </c>
      <c r="J14" s="246">
        <v>770.00000000000011</v>
      </c>
      <c r="K14">
        <f t="shared" si="2"/>
        <v>1500</v>
      </c>
      <c r="L14" s="151">
        <f t="shared" si="5"/>
        <v>1155000.0000000002</v>
      </c>
      <c r="M14" s="243"/>
      <c r="N14">
        <f t="shared" si="3"/>
        <v>0</v>
      </c>
      <c r="O14" s="151">
        <f t="shared" si="6"/>
        <v>0</v>
      </c>
      <c r="P14" s="154">
        <f t="shared" si="8"/>
        <v>12375000</v>
      </c>
    </row>
    <row r="15" spans="2:16" x14ac:dyDescent="0.25">
      <c r="B15" s="37">
        <f>General!$D$3+C15</f>
        <v>2031</v>
      </c>
      <c r="C15" s="37">
        <v>7</v>
      </c>
      <c r="D15" s="244">
        <v>11000</v>
      </c>
      <c r="E15" s="2">
        <f t="shared" si="0"/>
        <v>900</v>
      </c>
      <c r="F15" s="151">
        <f t="shared" si="7"/>
        <v>9900000</v>
      </c>
      <c r="G15" s="246">
        <v>3300</v>
      </c>
      <c r="H15">
        <f t="shared" si="1"/>
        <v>400</v>
      </c>
      <c r="I15" s="151">
        <f t="shared" si="4"/>
        <v>1320000</v>
      </c>
      <c r="J15" s="246">
        <v>770.00000000000011</v>
      </c>
      <c r="K15">
        <f t="shared" si="2"/>
        <v>1500</v>
      </c>
      <c r="L15" s="151">
        <f t="shared" si="5"/>
        <v>1155000.0000000002</v>
      </c>
      <c r="M15" s="243"/>
      <c r="N15">
        <f t="shared" si="3"/>
        <v>0</v>
      </c>
      <c r="O15" s="151">
        <f t="shared" si="6"/>
        <v>0</v>
      </c>
      <c r="P15" s="154">
        <f t="shared" si="8"/>
        <v>12375000</v>
      </c>
    </row>
    <row r="16" spans="2:16" x14ac:dyDescent="0.25">
      <c r="B16" s="37">
        <f>General!$D$3+C16</f>
        <v>2032</v>
      </c>
      <c r="C16" s="37">
        <v>8</v>
      </c>
      <c r="D16" s="244">
        <v>11000</v>
      </c>
      <c r="E16" s="2">
        <f t="shared" si="0"/>
        <v>900</v>
      </c>
      <c r="F16" s="151">
        <f t="shared" si="7"/>
        <v>9900000</v>
      </c>
      <c r="G16" s="246">
        <v>3300</v>
      </c>
      <c r="H16">
        <f t="shared" si="1"/>
        <v>400</v>
      </c>
      <c r="I16" s="151">
        <f t="shared" si="4"/>
        <v>1320000</v>
      </c>
      <c r="J16" s="246">
        <v>770.00000000000011</v>
      </c>
      <c r="K16">
        <f t="shared" si="2"/>
        <v>1500</v>
      </c>
      <c r="L16" s="151">
        <f t="shared" si="5"/>
        <v>1155000.0000000002</v>
      </c>
      <c r="M16" s="243"/>
      <c r="N16">
        <f t="shared" si="3"/>
        <v>0</v>
      </c>
      <c r="O16" s="151">
        <f t="shared" si="6"/>
        <v>0</v>
      </c>
      <c r="P16" s="154">
        <f t="shared" si="8"/>
        <v>12375000</v>
      </c>
    </row>
    <row r="17" spans="2:17" x14ac:dyDescent="0.25">
      <c r="B17" s="37">
        <f>General!$D$3+C17</f>
        <v>2033</v>
      </c>
      <c r="C17" s="37">
        <v>9</v>
      </c>
      <c r="D17" s="244">
        <v>11000</v>
      </c>
      <c r="E17" s="2">
        <f t="shared" si="0"/>
        <v>900</v>
      </c>
      <c r="F17" s="151">
        <f t="shared" si="7"/>
        <v>9900000</v>
      </c>
      <c r="G17" s="246">
        <v>3300</v>
      </c>
      <c r="H17">
        <f t="shared" si="1"/>
        <v>400</v>
      </c>
      <c r="I17" s="151">
        <f t="shared" si="4"/>
        <v>1320000</v>
      </c>
      <c r="J17" s="246">
        <v>770.00000000000011</v>
      </c>
      <c r="K17">
        <f t="shared" si="2"/>
        <v>1500</v>
      </c>
      <c r="L17" s="151">
        <f t="shared" si="5"/>
        <v>1155000.0000000002</v>
      </c>
      <c r="M17" s="243"/>
      <c r="N17">
        <f t="shared" si="3"/>
        <v>0</v>
      </c>
      <c r="O17" s="151">
        <f t="shared" si="6"/>
        <v>0</v>
      </c>
      <c r="P17" s="154">
        <f t="shared" si="8"/>
        <v>12375000</v>
      </c>
    </row>
    <row r="18" spans="2:17" ht="15.75" thickBot="1" x14ac:dyDescent="0.3">
      <c r="B18" s="50">
        <f>General!$D$3+C18</f>
        <v>2034</v>
      </c>
      <c r="C18" s="50">
        <v>10</v>
      </c>
      <c r="D18" s="245">
        <v>11000</v>
      </c>
      <c r="E18" s="152">
        <f t="shared" si="0"/>
        <v>900</v>
      </c>
      <c r="F18" s="153">
        <f t="shared" si="7"/>
        <v>9900000</v>
      </c>
      <c r="G18" s="247">
        <v>3300</v>
      </c>
      <c r="H18" s="61">
        <f t="shared" si="1"/>
        <v>400</v>
      </c>
      <c r="I18" s="153">
        <f t="shared" si="4"/>
        <v>1320000</v>
      </c>
      <c r="J18" s="247">
        <v>770.00000000000011</v>
      </c>
      <c r="K18" s="61">
        <f t="shared" si="2"/>
        <v>1500</v>
      </c>
      <c r="L18" s="153">
        <f t="shared" si="5"/>
        <v>1155000.0000000002</v>
      </c>
      <c r="M18" s="248"/>
      <c r="N18" s="61">
        <f t="shared" si="3"/>
        <v>0</v>
      </c>
      <c r="O18" s="153">
        <f t="shared" si="6"/>
        <v>0</v>
      </c>
      <c r="P18" s="155">
        <f t="shared" si="8"/>
        <v>12375000</v>
      </c>
    </row>
    <row r="19" spans="2:17" ht="15.75" thickBot="1" x14ac:dyDescent="0.3">
      <c r="D19" s="4"/>
      <c r="E19" s="4"/>
      <c r="F19" s="238">
        <f>SUM(F8:F18)</f>
        <v>93600000</v>
      </c>
      <c r="G19" s="4"/>
      <c r="H19" s="4"/>
      <c r="I19" s="238">
        <f>SUM(I8:I18)</f>
        <v>12480000</v>
      </c>
      <c r="J19" s="4"/>
      <c r="K19" s="4"/>
      <c r="L19" s="238">
        <f>SUM(L8:L18)</f>
        <v>10920000</v>
      </c>
      <c r="M19" s="4"/>
      <c r="N19" s="4"/>
      <c r="O19" s="238">
        <f>SUM(O8:O18)</f>
        <v>0</v>
      </c>
      <c r="P19" s="156">
        <f>SUM(P8:P18)</f>
        <v>117000000</v>
      </c>
      <c r="Q19" s="3" t="s">
        <v>7</v>
      </c>
    </row>
    <row r="21" spans="2:17" x14ac:dyDescent="0.25">
      <c r="D21" s="2"/>
    </row>
    <row r="22" spans="2:17" x14ac:dyDescent="0.25">
      <c r="D22" s="2"/>
    </row>
    <row r="23" spans="2:17" x14ac:dyDescent="0.25">
      <c r="D23" s="2"/>
    </row>
    <row r="24" spans="2:17" x14ac:dyDescent="0.25">
      <c r="D24" s="2"/>
    </row>
    <row r="25" spans="2:17" x14ac:dyDescent="0.25">
      <c r="D25" s="2"/>
    </row>
    <row r="26" spans="2:17" x14ac:dyDescent="0.25">
      <c r="D26" s="2"/>
    </row>
    <row r="27" spans="2:17" x14ac:dyDescent="0.25">
      <c r="D27" s="2"/>
    </row>
    <row r="28" spans="2:17" x14ac:dyDescent="0.25">
      <c r="D28" s="2"/>
    </row>
    <row r="32" spans="2:17" x14ac:dyDescent="0.25">
      <c r="D32" s="2"/>
    </row>
    <row r="33" spans="4:4" x14ac:dyDescent="0.25">
      <c r="D33" s="2"/>
    </row>
  </sheetData>
  <pageMargins left="0.7" right="0.7" top="0.75" bottom="0.75" header="0.3" footer="0.3"/>
  <pageSetup orientation="portrait" horizont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53"/>
  <sheetViews>
    <sheetView topLeftCell="A42" workbookViewId="0">
      <selection activeCell="I53" sqref="I53"/>
    </sheetView>
  </sheetViews>
  <sheetFormatPr baseColWidth="10" defaultRowHeight="15" x14ac:dyDescent="0.25"/>
  <cols>
    <col min="1" max="1" width="30.28515625" bestFit="1" customWidth="1"/>
    <col min="2" max="2" width="14.5703125" bestFit="1" customWidth="1"/>
    <col min="3" max="3" width="29.85546875" customWidth="1"/>
    <col min="9" max="9" width="23.85546875" bestFit="1" customWidth="1"/>
    <col min="18" max="18" width="10.5703125" bestFit="1" customWidth="1"/>
    <col min="23" max="23" width="46" customWidth="1"/>
    <col min="24" max="24" width="42.85546875" bestFit="1" customWidth="1"/>
    <col min="25" max="25" width="5.7109375" customWidth="1"/>
  </cols>
  <sheetData>
    <row r="1" spans="1:34" s="4" customFormat="1" x14ac:dyDescent="0.25">
      <c r="A1" s="56" t="s">
        <v>144</v>
      </c>
    </row>
    <row r="3" spans="1:34" s="6" customFormat="1" ht="90" x14ac:dyDescent="0.25">
      <c r="A3" s="6" t="s">
        <v>145</v>
      </c>
      <c r="B3" s="6" t="s">
        <v>156</v>
      </c>
      <c r="C3" s="6" t="s">
        <v>157</v>
      </c>
      <c r="D3" s="6" t="s">
        <v>148</v>
      </c>
      <c r="E3" s="6" t="s">
        <v>149</v>
      </c>
      <c r="F3" s="6" t="s">
        <v>150</v>
      </c>
      <c r="G3" s="6" t="s">
        <v>146</v>
      </c>
      <c r="H3" s="6" t="s">
        <v>212</v>
      </c>
      <c r="I3" s="6" t="s">
        <v>151</v>
      </c>
      <c r="J3" s="6" t="s">
        <v>147</v>
      </c>
      <c r="K3" s="6" t="s">
        <v>152</v>
      </c>
      <c r="L3" s="6" t="s">
        <v>153</v>
      </c>
      <c r="M3" s="6" t="s">
        <v>154</v>
      </c>
      <c r="N3" s="6" t="s">
        <v>155</v>
      </c>
      <c r="O3" s="6" t="s">
        <v>159</v>
      </c>
      <c r="Q3" s="6" t="s">
        <v>160</v>
      </c>
      <c r="R3" s="6" t="s">
        <v>641</v>
      </c>
      <c r="T3" s="6" t="s">
        <v>164</v>
      </c>
      <c r="U3" s="6" t="s">
        <v>642</v>
      </c>
      <c r="V3" s="6" t="s">
        <v>395</v>
      </c>
      <c r="W3" s="6" t="s">
        <v>158</v>
      </c>
    </row>
    <row r="4" spans="1:34" s="249" customFormat="1" x14ac:dyDescent="0.25">
      <c r="I4" s="250">
        <v>0.1</v>
      </c>
      <c r="K4" s="250">
        <v>0.02</v>
      </c>
      <c r="L4" s="250">
        <v>0.2</v>
      </c>
      <c r="M4" s="251">
        <v>1500</v>
      </c>
      <c r="N4" s="252">
        <v>800</v>
      </c>
      <c r="AH4" s="253" t="s">
        <v>644</v>
      </c>
    </row>
    <row r="5" spans="1:34" s="253" customFormat="1" x14ac:dyDescent="0.25">
      <c r="A5" s="254" t="s">
        <v>610</v>
      </c>
      <c r="B5" s="255">
        <v>3</v>
      </c>
      <c r="C5" s="242"/>
      <c r="G5" s="256">
        <v>48234</v>
      </c>
      <c r="H5" s="257">
        <f>G5*B5</f>
        <v>144702</v>
      </c>
      <c r="I5" s="257">
        <f>G5*$I$4</f>
        <v>4823.4000000000005</v>
      </c>
      <c r="J5" s="257">
        <f>G5+I5</f>
        <v>53057.4</v>
      </c>
      <c r="K5" s="257">
        <f>J5*($K$4)</f>
        <v>1061.1480000000001</v>
      </c>
      <c r="L5" s="257">
        <f>J5*($L$4)</f>
        <v>10611.480000000001</v>
      </c>
      <c r="M5" s="257">
        <f>$M$4</f>
        <v>1500</v>
      </c>
      <c r="N5" s="257">
        <f>$N$4</f>
        <v>800</v>
      </c>
      <c r="O5" s="257">
        <f>L5+M5+N5+J5+K5</f>
        <v>67030.028000000006</v>
      </c>
      <c r="P5" s="258">
        <f>O5/G5</f>
        <v>1.3896842061616288</v>
      </c>
      <c r="Q5" s="259">
        <f>O5*B5</f>
        <v>201090.08400000003</v>
      </c>
      <c r="R5" s="260">
        <v>0.4</v>
      </c>
      <c r="S5" s="257">
        <f t="shared" ref="S5:S34" si="0">Q5*R5</f>
        <v>80436.033600000024</v>
      </c>
      <c r="T5" s="259">
        <f t="shared" ref="T5:T35" si="1">Q5+S5</f>
        <v>281526.11760000006</v>
      </c>
      <c r="U5" s="258">
        <f t="shared" ref="U5:U35" si="2">H5/T5</f>
        <v>0.51399138820077972</v>
      </c>
      <c r="V5" s="259">
        <f t="shared" ref="V5:V35" si="3">T5/B5</f>
        <v>93842.039200000014</v>
      </c>
      <c r="W5" s="242" t="s">
        <v>758</v>
      </c>
      <c r="X5" s="253" t="s">
        <v>643</v>
      </c>
    </row>
    <row r="6" spans="1:34" s="253" customFormat="1" x14ac:dyDescent="0.25">
      <c r="A6" s="254" t="s">
        <v>611</v>
      </c>
      <c r="B6" s="255">
        <v>3</v>
      </c>
      <c r="C6" s="242"/>
      <c r="G6" s="256">
        <v>6000</v>
      </c>
      <c r="H6" s="257">
        <f t="shared" ref="H6:H35" si="4">G6*B6</f>
        <v>18000</v>
      </c>
      <c r="I6" s="257">
        <f t="shared" ref="I6:I35" si="5">G6*$I$4</f>
        <v>600</v>
      </c>
      <c r="J6" s="257">
        <f t="shared" ref="J6:J35" si="6">G6+I6</f>
        <v>6600</v>
      </c>
      <c r="K6" s="257">
        <f t="shared" ref="K6:K35" si="7">J6*($K$4)</f>
        <v>132</v>
      </c>
      <c r="L6" s="257">
        <f t="shared" ref="L6:L35" si="8">J6*($L$4)</f>
        <v>1320</v>
      </c>
      <c r="M6" s="257">
        <f t="shared" ref="M6:M35" si="9">$M$4</f>
        <v>1500</v>
      </c>
      <c r="N6" s="257">
        <f t="shared" ref="N6:N35" si="10">$N$4</f>
        <v>800</v>
      </c>
      <c r="O6" s="257">
        <f t="shared" ref="O6:O35" si="11">L6+M6+N6+J6+K6</f>
        <v>10352</v>
      </c>
      <c r="P6" s="258">
        <f t="shared" ref="P6:P35" si="12">O6/G6</f>
        <v>1.7253333333333334</v>
      </c>
      <c r="Q6" s="259">
        <f t="shared" ref="Q6:Q35" si="13">O6*B6</f>
        <v>31056</v>
      </c>
      <c r="R6" s="260">
        <v>0.45</v>
      </c>
      <c r="S6" s="257">
        <f t="shared" si="0"/>
        <v>13975.2</v>
      </c>
      <c r="T6" s="259">
        <f t="shared" si="1"/>
        <v>45031.199999999997</v>
      </c>
      <c r="U6" s="258">
        <f t="shared" si="2"/>
        <v>0.39972285881788627</v>
      </c>
      <c r="V6" s="259">
        <f t="shared" si="3"/>
        <v>15010.4</v>
      </c>
      <c r="W6" s="242"/>
      <c r="X6" s="253" t="s">
        <v>643</v>
      </c>
    </row>
    <row r="7" spans="1:34" s="253" customFormat="1" x14ac:dyDescent="0.25">
      <c r="A7" s="254" t="s">
        <v>612</v>
      </c>
      <c r="B7" s="255">
        <v>6</v>
      </c>
      <c r="C7" s="242"/>
      <c r="G7" s="256">
        <v>3000</v>
      </c>
      <c r="H7" s="257">
        <f t="shared" si="4"/>
        <v>18000</v>
      </c>
      <c r="I7" s="257">
        <f t="shared" si="5"/>
        <v>300</v>
      </c>
      <c r="J7" s="257">
        <f t="shared" si="6"/>
        <v>3300</v>
      </c>
      <c r="K7" s="257">
        <f t="shared" si="7"/>
        <v>66</v>
      </c>
      <c r="L7" s="257">
        <f t="shared" si="8"/>
        <v>660</v>
      </c>
      <c r="M7" s="257">
        <f t="shared" si="9"/>
        <v>1500</v>
      </c>
      <c r="N7" s="257">
        <f t="shared" si="10"/>
        <v>800</v>
      </c>
      <c r="O7" s="257">
        <f t="shared" si="11"/>
        <v>6326</v>
      </c>
      <c r="P7" s="258">
        <f t="shared" si="12"/>
        <v>2.1086666666666667</v>
      </c>
      <c r="Q7" s="259">
        <f t="shared" si="13"/>
        <v>37956</v>
      </c>
      <c r="R7" s="260">
        <v>0.4</v>
      </c>
      <c r="S7" s="257">
        <f t="shared" si="0"/>
        <v>15182.400000000001</v>
      </c>
      <c r="T7" s="259">
        <f t="shared" si="1"/>
        <v>53138.400000000001</v>
      </c>
      <c r="U7" s="258">
        <f t="shared" si="2"/>
        <v>0.33873808771058217</v>
      </c>
      <c r="V7" s="259">
        <f t="shared" si="3"/>
        <v>8856.4</v>
      </c>
      <c r="W7" s="242"/>
      <c r="X7" s="253" t="s">
        <v>643</v>
      </c>
    </row>
    <row r="8" spans="1:34" s="253" customFormat="1" x14ac:dyDescent="0.25">
      <c r="A8" s="254" t="s">
        <v>613</v>
      </c>
      <c r="B8" s="255">
        <v>1</v>
      </c>
      <c r="C8" s="242"/>
      <c r="G8" s="256">
        <v>8000</v>
      </c>
      <c r="H8" s="257">
        <f t="shared" si="4"/>
        <v>8000</v>
      </c>
      <c r="I8" s="257">
        <f t="shared" si="5"/>
        <v>800</v>
      </c>
      <c r="J8" s="257">
        <f t="shared" si="6"/>
        <v>8800</v>
      </c>
      <c r="K8" s="257">
        <f t="shared" si="7"/>
        <v>176</v>
      </c>
      <c r="L8" s="257">
        <f t="shared" si="8"/>
        <v>1760</v>
      </c>
      <c r="M8" s="257">
        <f t="shared" si="9"/>
        <v>1500</v>
      </c>
      <c r="N8" s="257">
        <f t="shared" si="10"/>
        <v>800</v>
      </c>
      <c r="O8" s="257">
        <f t="shared" si="11"/>
        <v>13036</v>
      </c>
      <c r="P8" s="258">
        <f t="shared" si="12"/>
        <v>1.6294999999999999</v>
      </c>
      <c r="Q8" s="259">
        <f t="shared" si="13"/>
        <v>13036</v>
      </c>
      <c r="R8" s="260">
        <v>0.55000000000000004</v>
      </c>
      <c r="S8" s="257">
        <f t="shared" si="0"/>
        <v>7169.8</v>
      </c>
      <c r="T8" s="259">
        <f t="shared" si="1"/>
        <v>20205.8</v>
      </c>
      <c r="U8" s="258">
        <f t="shared" si="2"/>
        <v>0.39592592225994516</v>
      </c>
      <c r="V8" s="259">
        <f t="shared" si="3"/>
        <v>20205.8</v>
      </c>
      <c r="W8" s="242"/>
      <c r="X8" s="253" t="s">
        <v>643</v>
      </c>
    </row>
    <row r="9" spans="1:34" s="253" customFormat="1" x14ac:dyDescent="0.25">
      <c r="A9" s="254" t="s">
        <v>614</v>
      </c>
      <c r="B9" s="255">
        <v>4</v>
      </c>
      <c r="C9" s="242"/>
      <c r="G9" s="256">
        <v>5000</v>
      </c>
      <c r="H9" s="257">
        <f t="shared" si="4"/>
        <v>20000</v>
      </c>
      <c r="I9" s="257">
        <f t="shared" si="5"/>
        <v>500</v>
      </c>
      <c r="J9" s="257">
        <f t="shared" si="6"/>
        <v>5500</v>
      </c>
      <c r="K9" s="257">
        <f t="shared" si="7"/>
        <v>110</v>
      </c>
      <c r="L9" s="257">
        <f t="shared" si="8"/>
        <v>1100</v>
      </c>
      <c r="M9" s="257">
        <f t="shared" si="9"/>
        <v>1500</v>
      </c>
      <c r="N9" s="257">
        <f t="shared" si="10"/>
        <v>800</v>
      </c>
      <c r="O9" s="257">
        <f t="shared" si="11"/>
        <v>9010</v>
      </c>
      <c r="P9" s="258">
        <f t="shared" si="12"/>
        <v>1.802</v>
      </c>
      <c r="Q9" s="259">
        <f t="shared" si="13"/>
        <v>36040</v>
      </c>
      <c r="R9" s="260">
        <v>0.7</v>
      </c>
      <c r="S9" s="257">
        <f t="shared" si="0"/>
        <v>25228</v>
      </c>
      <c r="T9" s="259">
        <f t="shared" si="1"/>
        <v>61268</v>
      </c>
      <c r="U9" s="258">
        <f t="shared" si="2"/>
        <v>0.32643468042044788</v>
      </c>
      <c r="V9" s="259">
        <f t="shared" si="3"/>
        <v>15317</v>
      </c>
      <c r="W9" s="242"/>
      <c r="X9" s="253" t="s">
        <v>643</v>
      </c>
    </row>
    <row r="10" spans="1:34" s="253" customFormat="1" x14ac:dyDescent="0.25">
      <c r="A10" s="254" t="s">
        <v>615</v>
      </c>
      <c r="B10" s="255">
        <v>2</v>
      </c>
      <c r="C10" s="242"/>
      <c r="G10" s="256">
        <v>40000</v>
      </c>
      <c r="H10" s="257">
        <f t="shared" si="4"/>
        <v>80000</v>
      </c>
      <c r="I10" s="257">
        <f t="shared" si="5"/>
        <v>4000</v>
      </c>
      <c r="J10" s="257">
        <f t="shared" si="6"/>
        <v>44000</v>
      </c>
      <c r="K10" s="257">
        <f t="shared" si="7"/>
        <v>880</v>
      </c>
      <c r="L10" s="257">
        <f t="shared" si="8"/>
        <v>8800</v>
      </c>
      <c r="M10" s="257">
        <f t="shared" si="9"/>
        <v>1500</v>
      </c>
      <c r="N10" s="257">
        <f t="shared" si="10"/>
        <v>800</v>
      </c>
      <c r="O10" s="257">
        <f t="shared" si="11"/>
        <v>55980</v>
      </c>
      <c r="P10" s="258">
        <f t="shared" si="12"/>
        <v>1.3995</v>
      </c>
      <c r="Q10" s="259">
        <f t="shared" si="13"/>
        <v>111960</v>
      </c>
      <c r="R10" s="260">
        <v>0.45</v>
      </c>
      <c r="S10" s="257">
        <f t="shared" si="0"/>
        <v>50382</v>
      </c>
      <c r="T10" s="259">
        <f t="shared" si="1"/>
        <v>162342</v>
      </c>
      <c r="U10" s="258">
        <f t="shared" si="2"/>
        <v>0.49278683273582929</v>
      </c>
      <c r="V10" s="259">
        <f t="shared" si="3"/>
        <v>81171</v>
      </c>
      <c r="W10" s="242"/>
      <c r="X10" s="253" t="s">
        <v>643</v>
      </c>
    </row>
    <row r="11" spans="1:34" s="253" customFormat="1" x14ac:dyDescent="0.25">
      <c r="A11" s="254" t="s">
        <v>616</v>
      </c>
      <c r="B11" s="255">
        <v>2</v>
      </c>
      <c r="C11" s="242"/>
      <c r="G11" s="256">
        <v>60000</v>
      </c>
      <c r="H11" s="257">
        <f t="shared" si="4"/>
        <v>120000</v>
      </c>
      <c r="I11" s="257">
        <f t="shared" si="5"/>
        <v>6000</v>
      </c>
      <c r="J11" s="257">
        <f t="shared" si="6"/>
        <v>66000</v>
      </c>
      <c r="K11" s="257">
        <f t="shared" si="7"/>
        <v>1320</v>
      </c>
      <c r="L11" s="257">
        <f t="shared" si="8"/>
        <v>13200</v>
      </c>
      <c r="M11" s="257">
        <f t="shared" si="9"/>
        <v>1500</v>
      </c>
      <c r="N11" s="257">
        <f t="shared" si="10"/>
        <v>800</v>
      </c>
      <c r="O11" s="257">
        <f t="shared" si="11"/>
        <v>82820</v>
      </c>
      <c r="P11" s="258">
        <f t="shared" si="12"/>
        <v>1.3803333333333334</v>
      </c>
      <c r="Q11" s="259">
        <f t="shared" si="13"/>
        <v>165640</v>
      </c>
      <c r="R11" s="260">
        <v>0.45</v>
      </c>
      <c r="S11" s="257">
        <f t="shared" si="0"/>
        <v>74538</v>
      </c>
      <c r="T11" s="259">
        <f t="shared" si="1"/>
        <v>240178</v>
      </c>
      <c r="U11" s="258">
        <f t="shared" si="2"/>
        <v>0.499629441497556</v>
      </c>
      <c r="V11" s="259">
        <f t="shared" si="3"/>
        <v>120089</v>
      </c>
      <c r="W11" s="242"/>
      <c r="X11" s="253" t="s">
        <v>643</v>
      </c>
    </row>
    <row r="12" spans="1:34" s="253" customFormat="1" x14ac:dyDescent="0.25">
      <c r="A12" s="254" t="s">
        <v>617</v>
      </c>
      <c r="B12" s="255">
        <v>4</v>
      </c>
      <c r="C12" s="242"/>
      <c r="G12" s="256">
        <v>10000</v>
      </c>
      <c r="H12" s="257">
        <f t="shared" si="4"/>
        <v>40000</v>
      </c>
      <c r="I12" s="257">
        <f t="shared" si="5"/>
        <v>1000</v>
      </c>
      <c r="J12" s="257">
        <f t="shared" si="6"/>
        <v>11000</v>
      </c>
      <c r="K12" s="257">
        <f t="shared" si="7"/>
        <v>220</v>
      </c>
      <c r="L12" s="257">
        <f t="shared" si="8"/>
        <v>2200</v>
      </c>
      <c r="M12" s="257">
        <f t="shared" si="9"/>
        <v>1500</v>
      </c>
      <c r="N12" s="257">
        <f t="shared" si="10"/>
        <v>800</v>
      </c>
      <c r="O12" s="257">
        <f t="shared" si="11"/>
        <v>15720</v>
      </c>
      <c r="P12" s="258">
        <f t="shared" si="12"/>
        <v>1.5720000000000001</v>
      </c>
      <c r="Q12" s="259">
        <f t="shared" si="13"/>
        <v>62880</v>
      </c>
      <c r="R12" s="260">
        <v>0.3</v>
      </c>
      <c r="S12" s="257">
        <f t="shared" si="0"/>
        <v>18864</v>
      </c>
      <c r="T12" s="259">
        <f t="shared" si="1"/>
        <v>81744</v>
      </c>
      <c r="U12" s="258">
        <f t="shared" si="2"/>
        <v>0.48933255040125267</v>
      </c>
      <c r="V12" s="259">
        <f t="shared" si="3"/>
        <v>20436</v>
      </c>
      <c r="W12" s="242"/>
      <c r="X12" s="253" t="s">
        <v>643</v>
      </c>
    </row>
    <row r="13" spans="1:34" s="253" customFormat="1" x14ac:dyDescent="0.25">
      <c r="A13" s="254" t="s">
        <v>618</v>
      </c>
      <c r="B13" s="255">
        <v>7</v>
      </c>
      <c r="C13" s="242"/>
      <c r="G13" s="256">
        <v>15000</v>
      </c>
      <c r="H13" s="257">
        <f t="shared" si="4"/>
        <v>105000</v>
      </c>
      <c r="I13" s="257">
        <f t="shared" si="5"/>
        <v>1500</v>
      </c>
      <c r="J13" s="257">
        <f t="shared" si="6"/>
        <v>16500</v>
      </c>
      <c r="K13" s="257">
        <f t="shared" si="7"/>
        <v>330</v>
      </c>
      <c r="L13" s="257">
        <f t="shared" si="8"/>
        <v>3300</v>
      </c>
      <c r="M13" s="257">
        <f t="shared" si="9"/>
        <v>1500</v>
      </c>
      <c r="N13" s="257">
        <f t="shared" si="10"/>
        <v>800</v>
      </c>
      <c r="O13" s="257">
        <f t="shared" si="11"/>
        <v>22430</v>
      </c>
      <c r="P13" s="258">
        <f t="shared" si="12"/>
        <v>1.4953333333333334</v>
      </c>
      <c r="Q13" s="259">
        <f t="shared" si="13"/>
        <v>157010</v>
      </c>
      <c r="R13" s="260">
        <v>0.7</v>
      </c>
      <c r="S13" s="257">
        <f t="shared" si="0"/>
        <v>109907</v>
      </c>
      <c r="T13" s="259">
        <f t="shared" si="1"/>
        <v>266917</v>
      </c>
      <c r="U13" s="258">
        <f t="shared" si="2"/>
        <v>0.39338071385486872</v>
      </c>
      <c r="V13" s="259">
        <f t="shared" si="3"/>
        <v>38131</v>
      </c>
      <c r="W13" s="242"/>
      <c r="X13" s="253" t="s">
        <v>643</v>
      </c>
    </row>
    <row r="14" spans="1:34" s="253" customFormat="1" x14ac:dyDescent="0.25">
      <c r="A14" s="254" t="s">
        <v>619</v>
      </c>
      <c r="B14" s="255">
        <v>2</v>
      </c>
      <c r="C14" s="242"/>
      <c r="G14" s="256">
        <v>21000</v>
      </c>
      <c r="H14" s="257">
        <f t="shared" si="4"/>
        <v>42000</v>
      </c>
      <c r="I14" s="257">
        <f t="shared" si="5"/>
        <v>2100</v>
      </c>
      <c r="J14" s="257">
        <f t="shared" si="6"/>
        <v>23100</v>
      </c>
      <c r="K14" s="257">
        <f t="shared" si="7"/>
        <v>462</v>
      </c>
      <c r="L14" s="257">
        <f t="shared" si="8"/>
        <v>4620</v>
      </c>
      <c r="M14" s="257">
        <f t="shared" si="9"/>
        <v>1500</v>
      </c>
      <c r="N14" s="257">
        <f t="shared" si="10"/>
        <v>800</v>
      </c>
      <c r="O14" s="257">
        <f t="shared" si="11"/>
        <v>30482</v>
      </c>
      <c r="P14" s="258">
        <f t="shared" si="12"/>
        <v>1.4515238095238094</v>
      </c>
      <c r="Q14" s="259">
        <f t="shared" si="13"/>
        <v>60964</v>
      </c>
      <c r="R14" s="260">
        <v>0.6</v>
      </c>
      <c r="S14" s="257">
        <f t="shared" si="0"/>
        <v>36578.400000000001</v>
      </c>
      <c r="T14" s="259">
        <f t="shared" si="1"/>
        <v>97542.399999999994</v>
      </c>
      <c r="U14" s="258">
        <f t="shared" si="2"/>
        <v>0.43058198280952698</v>
      </c>
      <c r="V14" s="259">
        <f t="shared" si="3"/>
        <v>48771.199999999997</v>
      </c>
      <c r="W14" s="242"/>
      <c r="X14" s="253" t="s">
        <v>643</v>
      </c>
    </row>
    <row r="15" spans="1:34" s="253" customFormat="1" x14ac:dyDescent="0.25">
      <c r="A15" s="254" t="s">
        <v>620</v>
      </c>
      <c r="B15" s="255">
        <v>1</v>
      </c>
      <c r="C15" s="242"/>
      <c r="G15" s="256">
        <v>23000</v>
      </c>
      <c r="H15" s="257">
        <f t="shared" si="4"/>
        <v>23000</v>
      </c>
      <c r="I15" s="257">
        <f t="shared" si="5"/>
        <v>2300</v>
      </c>
      <c r="J15" s="257">
        <f t="shared" si="6"/>
        <v>25300</v>
      </c>
      <c r="K15" s="257">
        <f t="shared" si="7"/>
        <v>506</v>
      </c>
      <c r="L15" s="257">
        <f t="shared" si="8"/>
        <v>5060</v>
      </c>
      <c r="M15" s="257">
        <f t="shared" si="9"/>
        <v>1500</v>
      </c>
      <c r="N15" s="257">
        <f t="shared" si="10"/>
        <v>800</v>
      </c>
      <c r="O15" s="257">
        <f t="shared" si="11"/>
        <v>33166</v>
      </c>
      <c r="P15" s="258">
        <f t="shared" si="12"/>
        <v>1.4419999999999999</v>
      </c>
      <c r="Q15" s="259">
        <f t="shared" si="13"/>
        <v>33166</v>
      </c>
      <c r="R15" s="260">
        <v>0.5</v>
      </c>
      <c r="S15" s="257">
        <f t="shared" si="0"/>
        <v>16583</v>
      </c>
      <c r="T15" s="259">
        <f t="shared" si="1"/>
        <v>49749</v>
      </c>
      <c r="U15" s="258">
        <f t="shared" si="2"/>
        <v>0.46232085067036521</v>
      </c>
      <c r="V15" s="259">
        <f t="shared" si="3"/>
        <v>49749</v>
      </c>
      <c r="W15" s="242"/>
      <c r="X15" s="253" t="s">
        <v>643</v>
      </c>
    </row>
    <row r="16" spans="1:34" s="253" customFormat="1" x14ac:dyDescent="0.25">
      <c r="A16" s="254" t="s">
        <v>621</v>
      </c>
      <c r="B16" s="255">
        <v>3</v>
      </c>
      <c r="C16" s="242"/>
      <c r="G16" s="256">
        <v>20000</v>
      </c>
      <c r="H16" s="257">
        <f t="shared" si="4"/>
        <v>60000</v>
      </c>
      <c r="I16" s="257">
        <f t="shared" si="5"/>
        <v>2000</v>
      </c>
      <c r="J16" s="257">
        <f t="shared" si="6"/>
        <v>22000</v>
      </c>
      <c r="K16" s="257">
        <f t="shared" si="7"/>
        <v>440</v>
      </c>
      <c r="L16" s="257">
        <f t="shared" si="8"/>
        <v>4400</v>
      </c>
      <c r="M16" s="257">
        <f t="shared" si="9"/>
        <v>1500</v>
      </c>
      <c r="N16" s="257">
        <f t="shared" si="10"/>
        <v>800</v>
      </c>
      <c r="O16" s="257">
        <f t="shared" si="11"/>
        <v>29140</v>
      </c>
      <c r="P16" s="258">
        <f t="shared" si="12"/>
        <v>1.4570000000000001</v>
      </c>
      <c r="Q16" s="259">
        <f t="shared" si="13"/>
        <v>87420</v>
      </c>
      <c r="R16" s="260">
        <v>0.4</v>
      </c>
      <c r="S16" s="257">
        <f t="shared" si="0"/>
        <v>34968</v>
      </c>
      <c r="T16" s="259">
        <f t="shared" si="1"/>
        <v>122388</v>
      </c>
      <c r="U16" s="258">
        <f t="shared" si="2"/>
        <v>0.49024414158250806</v>
      </c>
      <c r="V16" s="259">
        <f t="shared" si="3"/>
        <v>40796</v>
      </c>
      <c r="W16" s="242"/>
      <c r="X16" s="253" t="s">
        <v>643</v>
      </c>
    </row>
    <row r="17" spans="1:38" s="253" customFormat="1" x14ac:dyDescent="0.25">
      <c r="A17" s="254" t="s">
        <v>622</v>
      </c>
      <c r="B17" s="255">
        <v>3</v>
      </c>
      <c r="C17" s="242"/>
      <c r="G17" s="256">
        <v>18000</v>
      </c>
      <c r="H17" s="257">
        <f t="shared" si="4"/>
        <v>54000</v>
      </c>
      <c r="I17" s="257">
        <f t="shared" si="5"/>
        <v>1800</v>
      </c>
      <c r="J17" s="257">
        <f t="shared" si="6"/>
        <v>19800</v>
      </c>
      <c r="K17" s="257">
        <f t="shared" si="7"/>
        <v>396</v>
      </c>
      <c r="L17" s="257">
        <f t="shared" si="8"/>
        <v>3960</v>
      </c>
      <c r="M17" s="257">
        <f t="shared" si="9"/>
        <v>1500</v>
      </c>
      <c r="N17" s="257">
        <f t="shared" si="10"/>
        <v>800</v>
      </c>
      <c r="O17" s="257">
        <f t="shared" si="11"/>
        <v>26456</v>
      </c>
      <c r="P17" s="258">
        <f t="shared" si="12"/>
        <v>1.4697777777777778</v>
      </c>
      <c r="Q17" s="259">
        <f t="shared" si="13"/>
        <v>79368</v>
      </c>
      <c r="R17" s="260">
        <v>0.45</v>
      </c>
      <c r="S17" s="257">
        <f t="shared" si="0"/>
        <v>35715.599999999999</v>
      </c>
      <c r="T17" s="259">
        <f t="shared" si="1"/>
        <v>115083.6</v>
      </c>
      <c r="U17" s="258">
        <f t="shared" si="2"/>
        <v>0.46922411186302826</v>
      </c>
      <c r="V17" s="259">
        <f t="shared" si="3"/>
        <v>38361.200000000004</v>
      </c>
      <c r="W17" s="242"/>
      <c r="X17" s="253" t="s">
        <v>643</v>
      </c>
    </row>
    <row r="18" spans="1:38" s="253" customFormat="1" x14ac:dyDescent="0.25">
      <c r="A18" s="254" t="s">
        <v>623</v>
      </c>
      <c r="B18" s="255">
        <v>3</v>
      </c>
      <c r="C18" s="242"/>
      <c r="G18" s="256">
        <v>4000</v>
      </c>
      <c r="H18" s="257">
        <f t="shared" si="4"/>
        <v>12000</v>
      </c>
      <c r="I18" s="257">
        <f t="shared" si="5"/>
        <v>400</v>
      </c>
      <c r="J18" s="257">
        <f t="shared" si="6"/>
        <v>4400</v>
      </c>
      <c r="K18" s="257">
        <f t="shared" si="7"/>
        <v>88</v>
      </c>
      <c r="L18" s="257">
        <f t="shared" si="8"/>
        <v>880</v>
      </c>
      <c r="M18" s="257">
        <f t="shared" si="9"/>
        <v>1500</v>
      </c>
      <c r="N18" s="257">
        <f t="shared" si="10"/>
        <v>800</v>
      </c>
      <c r="O18" s="257">
        <f t="shared" si="11"/>
        <v>7668</v>
      </c>
      <c r="P18" s="258">
        <f t="shared" si="12"/>
        <v>1.917</v>
      </c>
      <c r="Q18" s="259">
        <f t="shared" si="13"/>
        <v>23004</v>
      </c>
      <c r="R18" s="260">
        <v>0.4</v>
      </c>
      <c r="S18" s="257">
        <f t="shared" si="0"/>
        <v>9201.6</v>
      </c>
      <c r="T18" s="259">
        <f t="shared" si="1"/>
        <v>32205.599999999999</v>
      </c>
      <c r="U18" s="258">
        <f t="shared" si="2"/>
        <v>0.37260600640882335</v>
      </c>
      <c r="V18" s="259">
        <f t="shared" si="3"/>
        <v>10735.199999999999</v>
      </c>
      <c r="W18" s="242"/>
      <c r="X18" s="253" t="s">
        <v>643</v>
      </c>
    </row>
    <row r="19" spans="1:38" s="253" customFormat="1" x14ac:dyDescent="0.25">
      <c r="A19" s="254" t="s">
        <v>624</v>
      </c>
      <c r="B19" s="255">
        <v>1</v>
      </c>
      <c r="C19" s="242"/>
      <c r="G19" s="256">
        <v>32000</v>
      </c>
      <c r="H19" s="257">
        <f t="shared" si="4"/>
        <v>32000</v>
      </c>
      <c r="I19" s="257">
        <f t="shared" si="5"/>
        <v>3200</v>
      </c>
      <c r="J19" s="257">
        <f t="shared" si="6"/>
        <v>35200</v>
      </c>
      <c r="K19" s="257">
        <f t="shared" si="7"/>
        <v>704</v>
      </c>
      <c r="L19" s="257">
        <f t="shared" si="8"/>
        <v>7040</v>
      </c>
      <c r="M19" s="257">
        <f t="shared" si="9"/>
        <v>1500</v>
      </c>
      <c r="N19" s="257">
        <f t="shared" si="10"/>
        <v>800</v>
      </c>
      <c r="O19" s="257">
        <f t="shared" si="11"/>
        <v>45244</v>
      </c>
      <c r="P19" s="258">
        <f t="shared" si="12"/>
        <v>1.413875</v>
      </c>
      <c r="Q19" s="259">
        <f t="shared" si="13"/>
        <v>45244</v>
      </c>
      <c r="R19" s="260">
        <v>0.55000000000000004</v>
      </c>
      <c r="S19" s="257">
        <f t="shared" si="0"/>
        <v>24884.2</v>
      </c>
      <c r="T19" s="259">
        <f t="shared" si="1"/>
        <v>70128.2</v>
      </c>
      <c r="U19" s="258">
        <f t="shared" si="2"/>
        <v>0.4563071631668858</v>
      </c>
      <c r="V19" s="259">
        <f t="shared" si="3"/>
        <v>70128.2</v>
      </c>
      <c r="W19" s="242"/>
      <c r="X19" s="253" t="s">
        <v>643</v>
      </c>
      <c r="Z19" s="253" t="s">
        <v>326</v>
      </c>
      <c r="AL19" s="253" t="s">
        <v>644</v>
      </c>
    </row>
    <row r="20" spans="1:38" s="253" customFormat="1" x14ac:dyDescent="0.25">
      <c r="A20" s="254" t="s">
        <v>625</v>
      </c>
      <c r="B20" s="255">
        <v>1</v>
      </c>
      <c r="C20" s="242"/>
      <c r="G20" s="256">
        <v>25000</v>
      </c>
      <c r="H20" s="257">
        <f t="shared" si="4"/>
        <v>25000</v>
      </c>
      <c r="I20" s="257">
        <f t="shared" si="5"/>
        <v>2500</v>
      </c>
      <c r="J20" s="257">
        <f t="shared" si="6"/>
        <v>27500</v>
      </c>
      <c r="K20" s="257">
        <f t="shared" si="7"/>
        <v>550</v>
      </c>
      <c r="L20" s="257">
        <f t="shared" si="8"/>
        <v>5500</v>
      </c>
      <c r="M20" s="257">
        <f t="shared" si="9"/>
        <v>1500</v>
      </c>
      <c r="N20" s="257">
        <f t="shared" si="10"/>
        <v>800</v>
      </c>
      <c r="O20" s="257">
        <f t="shared" si="11"/>
        <v>35850</v>
      </c>
      <c r="P20" s="258">
        <f t="shared" si="12"/>
        <v>1.4339999999999999</v>
      </c>
      <c r="Q20" s="259">
        <f t="shared" si="13"/>
        <v>35850</v>
      </c>
      <c r="R20" s="260">
        <v>0.7</v>
      </c>
      <c r="S20" s="257">
        <f t="shared" si="0"/>
        <v>25095</v>
      </c>
      <c r="T20" s="259">
        <f t="shared" si="1"/>
        <v>60945</v>
      </c>
      <c r="U20" s="258">
        <f t="shared" si="2"/>
        <v>0.41020592337353351</v>
      </c>
      <c r="V20" s="259">
        <f t="shared" si="3"/>
        <v>60945</v>
      </c>
      <c r="W20" s="242"/>
      <c r="X20" s="253" t="s">
        <v>643</v>
      </c>
      <c r="Z20" s="253" t="s">
        <v>327</v>
      </c>
      <c r="AL20" s="253" t="s">
        <v>644</v>
      </c>
    </row>
    <row r="21" spans="1:38" s="253" customFormat="1" x14ac:dyDescent="0.25">
      <c r="A21" s="254" t="s">
        <v>626</v>
      </c>
      <c r="B21" s="255">
        <v>1</v>
      </c>
      <c r="C21" s="242"/>
      <c r="G21" s="256">
        <v>7000</v>
      </c>
      <c r="H21" s="257">
        <f t="shared" si="4"/>
        <v>7000</v>
      </c>
      <c r="I21" s="257">
        <f t="shared" si="5"/>
        <v>700</v>
      </c>
      <c r="J21" s="257">
        <v>7425</v>
      </c>
      <c r="K21" s="257">
        <f t="shared" si="7"/>
        <v>148.5</v>
      </c>
      <c r="L21" s="257">
        <f t="shared" si="8"/>
        <v>1485</v>
      </c>
      <c r="M21" s="257">
        <f t="shared" si="9"/>
        <v>1500</v>
      </c>
      <c r="N21" s="257">
        <f t="shared" si="10"/>
        <v>800</v>
      </c>
      <c r="O21" s="257">
        <f t="shared" si="11"/>
        <v>11358.5</v>
      </c>
      <c r="P21" s="258">
        <f t="shared" si="12"/>
        <v>1.6226428571428571</v>
      </c>
      <c r="Q21" s="259">
        <f t="shared" si="13"/>
        <v>11358.5</v>
      </c>
      <c r="R21" s="260">
        <v>0.45</v>
      </c>
      <c r="S21" s="257">
        <f t="shared" si="0"/>
        <v>5111.3249999999998</v>
      </c>
      <c r="T21" s="259">
        <f t="shared" si="1"/>
        <v>16469.825000000001</v>
      </c>
      <c r="U21" s="258">
        <f t="shared" si="2"/>
        <v>0.42501969510908583</v>
      </c>
      <c r="V21" s="259">
        <f t="shared" si="3"/>
        <v>16469.825000000001</v>
      </c>
      <c r="W21" s="242"/>
      <c r="X21" s="253" t="s">
        <v>643</v>
      </c>
    </row>
    <row r="22" spans="1:38" s="253" customFormat="1" x14ac:dyDescent="0.25">
      <c r="A22" s="254" t="s">
        <v>627</v>
      </c>
      <c r="B22" s="255">
        <v>2</v>
      </c>
      <c r="C22" s="242"/>
      <c r="G22" s="256">
        <v>115000</v>
      </c>
      <c r="H22" s="257">
        <f t="shared" si="4"/>
        <v>230000</v>
      </c>
      <c r="I22" s="257">
        <f t="shared" si="5"/>
        <v>11500</v>
      </c>
      <c r="J22" s="257">
        <v>124224.66892516169</v>
      </c>
      <c r="K22" s="257">
        <f t="shared" si="7"/>
        <v>2484.493378503234</v>
      </c>
      <c r="L22" s="257">
        <f t="shared" si="8"/>
        <v>24844.933785032339</v>
      </c>
      <c r="M22" s="257">
        <f t="shared" si="9"/>
        <v>1500</v>
      </c>
      <c r="N22" s="257">
        <v>10000</v>
      </c>
      <c r="O22" s="257">
        <f t="shared" si="11"/>
        <v>163054.09608869726</v>
      </c>
      <c r="P22" s="258">
        <f t="shared" si="12"/>
        <v>1.4178617051191067</v>
      </c>
      <c r="Q22" s="259">
        <f t="shared" si="13"/>
        <v>326108.19217739452</v>
      </c>
      <c r="R22" s="260">
        <v>0.45</v>
      </c>
      <c r="S22" s="257">
        <f t="shared" si="0"/>
        <v>146748.68647982753</v>
      </c>
      <c r="T22" s="259">
        <f t="shared" si="1"/>
        <v>472856.87865722203</v>
      </c>
      <c r="U22" s="258">
        <f t="shared" si="2"/>
        <v>0.48640510560644495</v>
      </c>
      <c r="V22" s="259">
        <f t="shared" si="3"/>
        <v>236428.43932861101</v>
      </c>
      <c r="W22" s="242"/>
      <c r="X22" s="253" t="s">
        <v>643</v>
      </c>
    </row>
    <row r="23" spans="1:38" s="253" customFormat="1" x14ac:dyDescent="0.25">
      <c r="A23" s="254" t="s">
        <v>628</v>
      </c>
      <c r="B23" s="255">
        <v>1</v>
      </c>
      <c r="C23" s="242"/>
      <c r="G23" s="256">
        <v>33000</v>
      </c>
      <c r="H23" s="257">
        <f t="shared" si="4"/>
        <v>33000</v>
      </c>
      <c r="I23" s="257">
        <f t="shared" si="5"/>
        <v>3300</v>
      </c>
      <c r="J23" s="257">
        <f t="shared" si="6"/>
        <v>36300</v>
      </c>
      <c r="K23" s="257">
        <f t="shared" si="7"/>
        <v>726</v>
      </c>
      <c r="L23" s="257">
        <f t="shared" si="8"/>
        <v>7260</v>
      </c>
      <c r="M23" s="257">
        <f t="shared" si="9"/>
        <v>1500</v>
      </c>
      <c r="N23" s="257">
        <f t="shared" si="10"/>
        <v>800</v>
      </c>
      <c r="O23" s="257">
        <f t="shared" si="11"/>
        <v>46586</v>
      </c>
      <c r="P23" s="258">
        <f t="shared" si="12"/>
        <v>1.4116969696969697</v>
      </c>
      <c r="Q23" s="259">
        <f t="shared" si="13"/>
        <v>46586</v>
      </c>
      <c r="R23" s="260">
        <v>0.3</v>
      </c>
      <c r="S23" s="257">
        <f t="shared" si="0"/>
        <v>13975.8</v>
      </c>
      <c r="T23" s="259">
        <f t="shared" si="1"/>
        <v>60561.8</v>
      </c>
      <c r="U23" s="258">
        <f t="shared" si="2"/>
        <v>0.54489793896482597</v>
      </c>
      <c r="V23" s="259">
        <f t="shared" si="3"/>
        <v>60561.8</v>
      </c>
      <c r="W23" s="242"/>
      <c r="X23" s="253" t="s">
        <v>643</v>
      </c>
    </row>
    <row r="24" spans="1:38" s="253" customFormat="1" x14ac:dyDescent="0.25">
      <c r="A24" s="254" t="s">
        <v>629</v>
      </c>
      <c r="B24" s="255">
        <v>1</v>
      </c>
      <c r="C24" s="242"/>
      <c r="G24" s="256">
        <v>24000</v>
      </c>
      <c r="H24" s="257">
        <f t="shared" si="4"/>
        <v>24000</v>
      </c>
      <c r="I24" s="257">
        <f t="shared" si="5"/>
        <v>2400</v>
      </c>
      <c r="J24" s="257">
        <f t="shared" si="6"/>
        <v>26400</v>
      </c>
      <c r="K24" s="257">
        <f t="shared" si="7"/>
        <v>528</v>
      </c>
      <c r="L24" s="257">
        <f t="shared" si="8"/>
        <v>5280</v>
      </c>
      <c r="M24" s="257">
        <f t="shared" si="9"/>
        <v>1500</v>
      </c>
      <c r="N24" s="257">
        <f t="shared" si="10"/>
        <v>800</v>
      </c>
      <c r="O24" s="257">
        <f t="shared" si="11"/>
        <v>34508</v>
      </c>
      <c r="P24" s="258">
        <f t="shared" si="12"/>
        <v>1.4378333333333333</v>
      </c>
      <c r="Q24" s="259">
        <f t="shared" si="13"/>
        <v>34508</v>
      </c>
      <c r="R24" s="260">
        <v>0.7</v>
      </c>
      <c r="S24" s="257">
        <f t="shared" si="0"/>
        <v>24155.599999999999</v>
      </c>
      <c r="T24" s="259">
        <f t="shared" si="1"/>
        <v>58663.6</v>
      </c>
      <c r="U24" s="258">
        <f t="shared" si="2"/>
        <v>0.40911229450630376</v>
      </c>
      <c r="V24" s="259">
        <f t="shared" si="3"/>
        <v>58663.6</v>
      </c>
      <c r="W24" s="242"/>
      <c r="X24" s="253" t="s">
        <v>643</v>
      </c>
    </row>
    <row r="25" spans="1:38" s="253" customFormat="1" x14ac:dyDescent="0.25">
      <c r="A25" s="254" t="s">
        <v>630</v>
      </c>
      <c r="B25" s="255">
        <v>1</v>
      </c>
      <c r="C25" s="242"/>
      <c r="G25" s="256">
        <v>75000</v>
      </c>
      <c r="H25" s="257">
        <f t="shared" si="4"/>
        <v>75000</v>
      </c>
      <c r="I25" s="257">
        <f t="shared" si="5"/>
        <v>7500</v>
      </c>
      <c r="J25" s="257">
        <f t="shared" si="6"/>
        <v>82500</v>
      </c>
      <c r="K25" s="257">
        <f t="shared" si="7"/>
        <v>1650</v>
      </c>
      <c r="L25" s="257">
        <f t="shared" si="8"/>
        <v>16500</v>
      </c>
      <c r="M25" s="257">
        <f t="shared" si="9"/>
        <v>1500</v>
      </c>
      <c r="N25" s="257">
        <f t="shared" si="10"/>
        <v>800</v>
      </c>
      <c r="O25" s="257">
        <f t="shared" si="11"/>
        <v>102950</v>
      </c>
      <c r="P25" s="258">
        <f t="shared" si="12"/>
        <v>1.3726666666666667</v>
      </c>
      <c r="Q25" s="259">
        <f t="shared" si="13"/>
        <v>102950</v>
      </c>
      <c r="R25" s="260">
        <v>0.6</v>
      </c>
      <c r="S25" s="257">
        <f t="shared" si="0"/>
        <v>61770</v>
      </c>
      <c r="T25" s="259">
        <f t="shared" si="1"/>
        <v>164720</v>
      </c>
      <c r="U25" s="258">
        <f t="shared" si="2"/>
        <v>0.45531811559009228</v>
      </c>
      <c r="V25" s="259">
        <f t="shared" si="3"/>
        <v>164720</v>
      </c>
      <c r="W25" s="242"/>
      <c r="X25" s="253" t="s">
        <v>643</v>
      </c>
    </row>
    <row r="26" spans="1:38" s="253" customFormat="1" x14ac:dyDescent="0.25">
      <c r="A26" s="254" t="s">
        <v>631</v>
      </c>
      <c r="B26" s="255">
        <v>1</v>
      </c>
      <c r="C26" s="242"/>
      <c r="G26" s="256">
        <v>42000</v>
      </c>
      <c r="H26" s="257">
        <f t="shared" si="4"/>
        <v>42000</v>
      </c>
      <c r="I26" s="257">
        <f t="shared" si="5"/>
        <v>4200</v>
      </c>
      <c r="J26" s="257">
        <f t="shared" si="6"/>
        <v>46200</v>
      </c>
      <c r="K26" s="257">
        <f t="shared" si="7"/>
        <v>924</v>
      </c>
      <c r="L26" s="257">
        <f t="shared" si="8"/>
        <v>9240</v>
      </c>
      <c r="M26" s="257">
        <f t="shared" si="9"/>
        <v>1500</v>
      </c>
      <c r="N26" s="257">
        <f t="shared" si="10"/>
        <v>800</v>
      </c>
      <c r="O26" s="257">
        <f t="shared" si="11"/>
        <v>58664</v>
      </c>
      <c r="P26" s="258">
        <f t="shared" si="12"/>
        <v>1.3967619047619049</v>
      </c>
      <c r="Q26" s="259">
        <f t="shared" si="13"/>
        <v>58664</v>
      </c>
      <c r="R26" s="260">
        <v>0.5</v>
      </c>
      <c r="S26" s="257">
        <f t="shared" si="0"/>
        <v>29332</v>
      </c>
      <c r="T26" s="259">
        <f t="shared" si="1"/>
        <v>87996</v>
      </c>
      <c r="U26" s="258">
        <f t="shared" si="2"/>
        <v>0.47729442247374881</v>
      </c>
      <c r="V26" s="259">
        <f t="shared" si="3"/>
        <v>87996</v>
      </c>
      <c r="W26" s="242"/>
      <c r="X26" s="253" t="s">
        <v>643</v>
      </c>
    </row>
    <row r="27" spans="1:38" s="253" customFormat="1" x14ac:dyDescent="0.25">
      <c r="A27" s="254" t="s">
        <v>632</v>
      </c>
      <c r="B27" s="255">
        <v>1</v>
      </c>
      <c r="C27" s="242"/>
      <c r="G27" s="242">
        <v>1000</v>
      </c>
      <c r="H27" s="257">
        <f t="shared" si="4"/>
        <v>1000</v>
      </c>
      <c r="I27" s="257">
        <f t="shared" si="5"/>
        <v>100</v>
      </c>
      <c r="J27" s="257">
        <f t="shared" si="6"/>
        <v>1100</v>
      </c>
      <c r="K27" s="257">
        <f t="shared" si="7"/>
        <v>22</v>
      </c>
      <c r="L27" s="257">
        <f t="shared" si="8"/>
        <v>220</v>
      </c>
      <c r="M27" s="257">
        <f t="shared" si="9"/>
        <v>1500</v>
      </c>
      <c r="N27" s="257">
        <f t="shared" si="10"/>
        <v>800</v>
      </c>
      <c r="O27" s="257">
        <f t="shared" si="11"/>
        <v>3642</v>
      </c>
      <c r="P27" s="258">
        <f t="shared" si="12"/>
        <v>3.6419999999999999</v>
      </c>
      <c r="Q27" s="259">
        <f t="shared" si="13"/>
        <v>3642</v>
      </c>
      <c r="R27" s="260">
        <v>0.4</v>
      </c>
      <c r="S27" s="257">
        <f t="shared" si="0"/>
        <v>1456.8000000000002</v>
      </c>
      <c r="T27" s="259">
        <f t="shared" si="1"/>
        <v>5098.8</v>
      </c>
      <c r="U27" s="258">
        <f t="shared" si="2"/>
        <v>0.19612457833215657</v>
      </c>
      <c r="V27" s="259">
        <f t="shared" si="3"/>
        <v>5098.8</v>
      </c>
      <c r="W27" s="242"/>
      <c r="X27" s="253" t="s">
        <v>643</v>
      </c>
    </row>
    <row r="28" spans="1:38" s="253" customFormat="1" x14ac:dyDescent="0.25">
      <c r="A28" s="254" t="s">
        <v>633</v>
      </c>
      <c r="B28" s="255">
        <v>3</v>
      </c>
      <c r="C28" s="242"/>
      <c r="G28" s="242">
        <v>1000</v>
      </c>
      <c r="H28" s="257">
        <f t="shared" si="4"/>
        <v>3000</v>
      </c>
      <c r="I28" s="257">
        <f t="shared" si="5"/>
        <v>100</v>
      </c>
      <c r="J28" s="257">
        <f t="shared" si="6"/>
        <v>1100</v>
      </c>
      <c r="K28" s="257">
        <f t="shared" si="7"/>
        <v>22</v>
      </c>
      <c r="L28" s="257">
        <f t="shared" si="8"/>
        <v>220</v>
      </c>
      <c r="M28" s="257">
        <f t="shared" si="9"/>
        <v>1500</v>
      </c>
      <c r="N28" s="257">
        <f t="shared" si="10"/>
        <v>800</v>
      </c>
      <c r="O28" s="257">
        <f t="shared" si="11"/>
        <v>3642</v>
      </c>
      <c r="P28" s="258">
        <f t="shared" si="12"/>
        <v>3.6419999999999999</v>
      </c>
      <c r="Q28" s="259">
        <f t="shared" si="13"/>
        <v>10926</v>
      </c>
      <c r="R28" s="260">
        <v>0.45</v>
      </c>
      <c r="S28" s="257">
        <f t="shared" si="0"/>
        <v>4916.7</v>
      </c>
      <c r="T28" s="259">
        <f t="shared" si="1"/>
        <v>15842.7</v>
      </c>
      <c r="U28" s="258">
        <f t="shared" si="2"/>
        <v>0.18936166183794428</v>
      </c>
      <c r="V28" s="259">
        <f t="shared" si="3"/>
        <v>5280.9000000000005</v>
      </c>
      <c r="W28" s="242"/>
      <c r="X28" s="253" t="s">
        <v>643</v>
      </c>
    </row>
    <row r="29" spans="1:38" s="253" customFormat="1" x14ac:dyDescent="0.25">
      <c r="A29" s="254" t="s">
        <v>634</v>
      </c>
      <c r="B29" s="255">
        <v>3</v>
      </c>
      <c r="C29" s="242"/>
      <c r="G29" s="256">
        <v>15000</v>
      </c>
      <c r="H29" s="257">
        <f t="shared" si="4"/>
        <v>45000</v>
      </c>
      <c r="I29" s="257">
        <f t="shared" si="5"/>
        <v>1500</v>
      </c>
      <c r="J29" s="257">
        <f t="shared" si="6"/>
        <v>16500</v>
      </c>
      <c r="K29" s="257">
        <f t="shared" si="7"/>
        <v>330</v>
      </c>
      <c r="L29" s="257">
        <f t="shared" si="8"/>
        <v>3300</v>
      </c>
      <c r="M29" s="257">
        <f t="shared" si="9"/>
        <v>1500</v>
      </c>
      <c r="N29" s="257">
        <f t="shared" si="10"/>
        <v>800</v>
      </c>
      <c r="O29" s="257">
        <f t="shared" si="11"/>
        <v>22430</v>
      </c>
      <c r="P29" s="258">
        <f t="shared" si="12"/>
        <v>1.4953333333333334</v>
      </c>
      <c r="Q29" s="259">
        <f t="shared" si="13"/>
        <v>67290</v>
      </c>
      <c r="R29" s="260">
        <v>0.4</v>
      </c>
      <c r="S29" s="257">
        <f t="shared" si="0"/>
        <v>26916</v>
      </c>
      <c r="T29" s="259">
        <f t="shared" si="1"/>
        <v>94206</v>
      </c>
      <c r="U29" s="258">
        <f t="shared" si="2"/>
        <v>0.47767658110948347</v>
      </c>
      <c r="V29" s="259">
        <f t="shared" si="3"/>
        <v>31402</v>
      </c>
      <c r="W29" s="242"/>
      <c r="X29" s="253" t="s">
        <v>643</v>
      </c>
    </row>
    <row r="30" spans="1:38" s="253" customFormat="1" x14ac:dyDescent="0.25">
      <c r="A30" s="254" t="s">
        <v>635</v>
      </c>
      <c r="B30" s="255">
        <v>2</v>
      </c>
      <c r="C30" s="242"/>
      <c r="G30" s="256">
        <v>13000</v>
      </c>
      <c r="H30" s="257">
        <f t="shared" si="4"/>
        <v>26000</v>
      </c>
      <c r="I30" s="257">
        <f t="shared" si="5"/>
        <v>1300</v>
      </c>
      <c r="J30" s="257">
        <f t="shared" si="6"/>
        <v>14300</v>
      </c>
      <c r="K30" s="257">
        <f t="shared" si="7"/>
        <v>286</v>
      </c>
      <c r="L30" s="257">
        <f t="shared" si="8"/>
        <v>2860</v>
      </c>
      <c r="M30" s="257">
        <f t="shared" si="9"/>
        <v>1500</v>
      </c>
      <c r="N30" s="257">
        <f t="shared" si="10"/>
        <v>800</v>
      </c>
      <c r="O30" s="257">
        <f t="shared" si="11"/>
        <v>19746</v>
      </c>
      <c r="P30" s="258">
        <f t="shared" si="12"/>
        <v>1.5189230769230768</v>
      </c>
      <c r="Q30" s="259">
        <f t="shared" si="13"/>
        <v>39492</v>
      </c>
      <c r="R30" s="260">
        <v>0.55000000000000004</v>
      </c>
      <c r="S30" s="257">
        <f t="shared" si="0"/>
        <v>21720.600000000002</v>
      </c>
      <c r="T30" s="259">
        <f t="shared" si="1"/>
        <v>61212.600000000006</v>
      </c>
      <c r="U30" s="258">
        <f t="shared" si="2"/>
        <v>0.42474915295216992</v>
      </c>
      <c r="V30" s="259">
        <f t="shared" si="3"/>
        <v>30606.300000000003</v>
      </c>
      <c r="W30" s="242"/>
      <c r="X30" s="253" t="s">
        <v>643</v>
      </c>
    </row>
    <row r="31" spans="1:38" s="253" customFormat="1" x14ac:dyDescent="0.25">
      <c r="A31" s="254" t="s">
        <v>636</v>
      </c>
      <c r="B31" s="255">
        <v>1</v>
      </c>
      <c r="C31" s="242"/>
      <c r="G31" s="256">
        <v>35000</v>
      </c>
      <c r="H31" s="257">
        <f t="shared" si="4"/>
        <v>35000</v>
      </c>
      <c r="I31" s="257">
        <f t="shared" si="5"/>
        <v>3500</v>
      </c>
      <c r="J31" s="257">
        <f t="shared" si="6"/>
        <v>38500</v>
      </c>
      <c r="K31" s="257">
        <f t="shared" si="7"/>
        <v>770</v>
      </c>
      <c r="L31" s="257">
        <f t="shared" si="8"/>
        <v>7700</v>
      </c>
      <c r="M31" s="257">
        <f t="shared" si="9"/>
        <v>1500</v>
      </c>
      <c r="N31" s="257">
        <f t="shared" si="10"/>
        <v>800</v>
      </c>
      <c r="O31" s="257">
        <f t="shared" si="11"/>
        <v>49270</v>
      </c>
      <c r="P31" s="258">
        <f t="shared" si="12"/>
        <v>1.4077142857142857</v>
      </c>
      <c r="Q31" s="259">
        <f t="shared" si="13"/>
        <v>49270</v>
      </c>
      <c r="R31" s="260">
        <v>0.7</v>
      </c>
      <c r="S31" s="257">
        <f t="shared" si="0"/>
        <v>34489</v>
      </c>
      <c r="T31" s="259">
        <f t="shared" si="1"/>
        <v>83759</v>
      </c>
      <c r="U31" s="258">
        <f t="shared" si="2"/>
        <v>0.41786554280734012</v>
      </c>
      <c r="V31" s="259">
        <f t="shared" si="3"/>
        <v>83759</v>
      </c>
      <c r="W31" s="242"/>
      <c r="X31" s="253" t="s">
        <v>643</v>
      </c>
    </row>
    <row r="32" spans="1:38" s="253" customFormat="1" x14ac:dyDescent="0.25">
      <c r="A32" s="254" t="s">
        <v>637</v>
      </c>
      <c r="B32" s="255">
        <v>1</v>
      </c>
      <c r="C32" s="242"/>
      <c r="G32" s="256">
        <v>8000</v>
      </c>
      <c r="H32" s="257">
        <f t="shared" si="4"/>
        <v>8000</v>
      </c>
      <c r="I32" s="257">
        <f t="shared" si="5"/>
        <v>800</v>
      </c>
      <c r="J32" s="257">
        <f t="shared" si="6"/>
        <v>8800</v>
      </c>
      <c r="K32" s="257">
        <f t="shared" si="7"/>
        <v>176</v>
      </c>
      <c r="L32" s="257">
        <f t="shared" si="8"/>
        <v>1760</v>
      </c>
      <c r="M32" s="257">
        <f t="shared" si="9"/>
        <v>1500</v>
      </c>
      <c r="N32" s="257">
        <f t="shared" si="10"/>
        <v>800</v>
      </c>
      <c r="O32" s="257">
        <f t="shared" si="11"/>
        <v>13036</v>
      </c>
      <c r="P32" s="258">
        <f t="shared" si="12"/>
        <v>1.6294999999999999</v>
      </c>
      <c r="Q32" s="259">
        <f t="shared" si="13"/>
        <v>13036</v>
      </c>
      <c r="R32" s="260">
        <v>0.45</v>
      </c>
      <c r="S32" s="257">
        <f t="shared" si="0"/>
        <v>5866.2</v>
      </c>
      <c r="T32" s="259">
        <f t="shared" si="1"/>
        <v>18902.2</v>
      </c>
      <c r="U32" s="258">
        <f t="shared" si="2"/>
        <v>0.42323115827787239</v>
      </c>
      <c r="V32" s="259">
        <f t="shared" si="3"/>
        <v>18902.2</v>
      </c>
      <c r="W32" s="242"/>
      <c r="X32" s="253" t="s">
        <v>643</v>
      </c>
    </row>
    <row r="33" spans="1:24" s="253" customFormat="1" x14ac:dyDescent="0.25">
      <c r="A33" s="254" t="s">
        <v>638</v>
      </c>
      <c r="B33" s="255">
        <v>1</v>
      </c>
      <c r="C33" s="242"/>
      <c r="G33" s="256">
        <v>71000</v>
      </c>
      <c r="H33" s="257">
        <f t="shared" si="4"/>
        <v>71000</v>
      </c>
      <c r="I33" s="257">
        <f t="shared" si="5"/>
        <v>7100</v>
      </c>
      <c r="J33" s="257">
        <f t="shared" si="6"/>
        <v>78100</v>
      </c>
      <c r="K33" s="257">
        <f t="shared" si="7"/>
        <v>1562</v>
      </c>
      <c r="L33" s="257">
        <f t="shared" si="8"/>
        <v>15620</v>
      </c>
      <c r="M33" s="257">
        <f t="shared" si="9"/>
        <v>1500</v>
      </c>
      <c r="N33" s="257">
        <v>5000</v>
      </c>
      <c r="O33" s="257">
        <f t="shared" si="11"/>
        <v>101782</v>
      </c>
      <c r="P33" s="258">
        <f t="shared" si="12"/>
        <v>1.4335492957746478</v>
      </c>
      <c r="Q33" s="259">
        <f t="shared" si="13"/>
        <v>101782</v>
      </c>
      <c r="R33" s="260">
        <v>0.45</v>
      </c>
      <c r="S33" s="257">
        <f t="shared" si="0"/>
        <v>45801.9</v>
      </c>
      <c r="T33" s="259">
        <f t="shared" si="1"/>
        <v>147583.9</v>
      </c>
      <c r="U33" s="258">
        <f t="shared" si="2"/>
        <v>0.48108228607592024</v>
      </c>
      <c r="V33" s="259">
        <f t="shared" si="3"/>
        <v>147583.9</v>
      </c>
      <c r="W33" s="242"/>
      <c r="X33" s="253" t="s">
        <v>643</v>
      </c>
    </row>
    <row r="34" spans="1:24" s="253" customFormat="1" x14ac:dyDescent="0.25">
      <c r="A34" s="254" t="s">
        <v>639</v>
      </c>
      <c r="B34" s="255">
        <v>1</v>
      </c>
      <c r="C34" s="242"/>
      <c r="G34" s="256">
        <v>12000</v>
      </c>
      <c r="H34" s="257">
        <f t="shared" si="4"/>
        <v>12000</v>
      </c>
      <c r="I34" s="257">
        <f t="shared" si="5"/>
        <v>1200</v>
      </c>
      <c r="J34" s="257">
        <f t="shared" si="6"/>
        <v>13200</v>
      </c>
      <c r="K34" s="257">
        <f t="shared" si="7"/>
        <v>264</v>
      </c>
      <c r="L34" s="257">
        <f t="shared" si="8"/>
        <v>2640</v>
      </c>
      <c r="M34" s="257">
        <f t="shared" si="9"/>
        <v>1500</v>
      </c>
      <c r="N34" s="257">
        <f t="shared" si="10"/>
        <v>800</v>
      </c>
      <c r="O34" s="257">
        <f t="shared" si="11"/>
        <v>18404</v>
      </c>
      <c r="P34" s="258">
        <f t="shared" si="12"/>
        <v>1.5336666666666667</v>
      </c>
      <c r="Q34" s="259">
        <f t="shared" si="13"/>
        <v>18404</v>
      </c>
      <c r="R34" s="260">
        <v>0.3</v>
      </c>
      <c r="S34" s="257">
        <f t="shared" si="0"/>
        <v>5521.2</v>
      </c>
      <c r="T34" s="259">
        <f t="shared" si="1"/>
        <v>23925.200000000001</v>
      </c>
      <c r="U34" s="258">
        <f t="shared" si="2"/>
        <v>0.50156320532325749</v>
      </c>
      <c r="V34" s="259">
        <f t="shared" si="3"/>
        <v>23925.200000000001</v>
      </c>
      <c r="W34" s="242"/>
      <c r="X34" s="253" t="s">
        <v>643</v>
      </c>
    </row>
    <row r="35" spans="1:24" s="253" customFormat="1" x14ac:dyDescent="0.25">
      <c r="A35" s="254" t="s">
        <v>640</v>
      </c>
      <c r="B35" s="255">
        <v>1</v>
      </c>
      <c r="C35" s="242"/>
      <c r="G35" s="256">
        <v>7000</v>
      </c>
      <c r="H35" s="257">
        <f t="shared" si="4"/>
        <v>7000</v>
      </c>
      <c r="I35" s="257">
        <f t="shared" si="5"/>
        <v>700</v>
      </c>
      <c r="J35" s="257">
        <f t="shared" si="6"/>
        <v>7700</v>
      </c>
      <c r="K35" s="257">
        <f t="shared" si="7"/>
        <v>154</v>
      </c>
      <c r="L35" s="257">
        <f t="shared" si="8"/>
        <v>1540</v>
      </c>
      <c r="M35" s="257">
        <f t="shared" si="9"/>
        <v>1500</v>
      </c>
      <c r="N35" s="257">
        <f t="shared" si="10"/>
        <v>800</v>
      </c>
      <c r="O35" s="257">
        <f t="shared" si="11"/>
        <v>11694</v>
      </c>
      <c r="P35" s="258">
        <f t="shared" si="12"/>
        <v>1.6705714285714286</v>
      </c>
      <c r="Q35" s="259">
        <f t="shared" si="13"/>
        <v>11694</v>
      </c>
      <c r="R35" s="260">
        <v>0.7</v>
      </c>
      <c r="S35" s="257">
        <f>Q35*R35</f>
        <v>8185.7999999999993</v>
      </c>
      <c r="T35" s="259">
        <f t="shared" si="1"/>
        <v>19879.8</v>
      </c>
      <c r="U35" s="258">
        <f t="shared" si="2"/>
        <v>0.35211621847302288</v>
      </c>
      <c r="V35" s="259">
        <f t="shared" si="3"/>
        <v>19879.8</v>
      </c>
      <c r="W35" s="242"/>
      <c r="X35" s="253" t="s">
        <v>643</v>
      </c>
    </row>
    <row r="36" spans="1:24" x14ac:dyDescent="0.25">
      <c r="G36" s="7"/>
      <c r="H36" s="7">
        <f>SUM(H5:H35)</f>
        <v>1420702</v>
      </c>
      <c r="I36" s="7"/>
      <c r="J36" s="7"/>
      <c r="K36" s="7"/>
      <c r="L36" s="7"/>
      <c r="M36" s="7"/>
      <c r="N36" s="7"/>
      <c r="O36" s="7"/>
      <c r="P36" s="7"/>
      <c r="Q36" s="7">
        <f>SUM(Q4:Q35)</f>
        <v>2077394.7761773947</v>
      </c>
      <c r="T36" s="7">
        <f>SUM(T5:T35)</f>
        <v>3092070.6212572223</v>
      </c>
    </row>
    <row r="38" spans="1:24" x14ac:dyDescent="0.25">
      <c r="L38" t="s">
        <v>185</v>
      </c>
    </row>
    <row r="39" spans="1:24" x14ac:dyDescent="0.25">
      <c r="A39" s="56" t="s">
        <v>161</v>
      </c>
      <c r="B39" s="4"/>
      <c r="C39" s="4"/>
      <c r="D39" s="4"/>
      <c r="E39" s="4"/>
      <c r="F39" s="4"/>
      <c r="G39" s="4"/>
      <c r="H39" s="4"/>
      <c r="I39" s="4"/>
      <c r="J39" s="4"/>
      <c r="K39" s="4"/>
      <c r="L39" s="4"/>
      <c r="M39" s="4"/>
      <c r="N39" s="4"/>
      <c r="O39" s="4"/>
      <c r="P39" s="4"/>
      <c r="Q39" s="4"/>
      <c r="R39" s="4"/>
    </row>
    <row r="41" spans="1:24" ht="90" x14ac:dyDescent="0.25">
      <c r="A41" s="6" t="s">
        <v>145</v>
      </c>
      <c r="B41" s="6" t="s">
        <v>156</v>
      </c>
      <c r="C41" s="6" t="s">
        <v>157</v>
      </c>
      <c r="D41" s="6" t="s">
        <v>148</v>
      </c>
      <c r="E41" s="6" t="s">
        <v>213</v>
      </c>
      <c r="F41" s="6" t="s">
        <v>162</v>
      </c>
      <c r="G41" s="6" t="s">
        <v>159</v>
      </c>
      <c r="H41" s="6" t="s">
        <v>160</v>
      </c>
      <c r="I41" s="6" t="s">
        <v>163</v>
      </c>
      <c r="K41" s="6" t="s">
        <v>164</v>
      </c>
      <c r="L41" s="6" t="s">
        <v>759</v>
      </c>
      <c r="M41" s="6" t="s">
        <v>395</v>
      </c>
      <c r="N41" s="6" t="s">
        <v>158</v>
      </c>
    </row>
    <row r="42" spans="1:24" s="253" customFormat="1" x14ac:dyDescent="0.25">
      <c r="A42" s="249"/>
      <c r="B42" s="249"/>
      <c r="C42" s="249"/>
      <c r="D42" s="249"/>
      <c r="F42" s="250">
        <v>0.1</v>
      </c>
      <c r="G42" s="261"/>
      <c r="H42" s="261"/>
      <c r="K42" s="249"/>
      <c r="M42" s="262"/>
      <c r="N42" s="261"/>
    </row>
    <row r="43" spans="1:24" s="253" customFormat="1" x14ac:dyDescent="0.25">
      <c r="A43" s="254" t="s">
        <v>605</v>
      </c>
      <c r="B43" s="254">
        <v>2</v>
      </c>
      <c r="C43" s="254"/>
      <c r="D43" s="256">
        <v>2000</v>
      </c>
      <c r="E43" s="257">
        <f>D43*B43</f>
        <v>4000</v>
      </c>
      <c r="F43" s="257">
        <f>D43*$F$42</f>
        <v>200</v>
      </c>
      <c r="G43" s="257">
        <f>D43+F43</f>
        <v>2200</v>
      </c>
      <c r="H43" s="259">
        <f>B43*G43</f>
        <v>4400</v>
      </c>
      <c r="I43" s="250">
        <v>0.4</v>
      </c>
      <c r="J43" s="257">
        <f>H43*I43</f>
        <v>1760</v>
      </c>
      <c r="K43" s="259">
        <f>H43+J43</f>
        <v>6160</v>
      </c>
      <c r="L43" s="258">
        <f>D43/M43</f>
        <v>0.64935064935064934</v>
      </c>
      <c r="M43" s="259">
        <f>K43/B43</f>
        <v>3080</v>
      </c>
      <c r="N43" s="242"/>
      <c r="O43" s="253" t="s">
        <v>643</v>
      </c>
    </row>
    <row r="44" spans="1:24" s="253" customFormat="1" x14ac:dyDescent="0.25">
      <c r="A44" s="254" t="s">
        <v>606</v>
      </c>
      <c r="B44" s="254">
        <v>2</v>
      </c>
      <c r="C44" s="254"/>
      <c r="D44" s="256">
        <v>3000</v>
      </c>
      <c r="E44" s="257">
        <f t="shared" ref="E44:E47" si="14">D44*B44</f>
        <v>6000</v>
      </c>
      <c r="F44" s="257">
        <f>D44*$F$42</f>
        <v>300</v>
      </c>
      <c r="G44" s="257">
        <f>D44+F44</f>
        <v>3300</v>
      </c>
      <c r="H44" s="259">
        <f>B44*G44</f>
        <v>6600</v>
      </c>
      <c r="I44" s="250">
        <v>0.5</v>
      </c>
      <c r="J44" s="257">
        <f>H44*I44</f>
        <v>3300</v>
      </c>
      <c r="K44" s="259">
        <f>H44+J44</f>
        <v>9900</v>
      </c>
      <c r="L44" s="258">
        <f t="shared" ref="L44:L47" si="15">D44/M44</f>
        <v>0.60606060606060608</v>
      </c>
      <c r="M44" s="259">
        <f>K44/B44</f>
        <v>4950</v>
      </c>
      <c r="N44" s="242"/>
      <c r="O44" s="253" t="s">
        <v>643</v>
      </c>
    </row>
    <row r="45" spans="1:24" s="253" customFormat="1" x14ac:dyDescent="0.25">
      <c r="A45" s="254" t="s">
        <v>607</v>
      </c>
      <c r="B45" s="254">
        <v>2</v>
      </c>
      <c r="C45" s="254"/>
      <c r="D45" s="256">
        <v>7000</v>
      </c>
      <c r="E45" s="257">
        <f t="shared" si="14"/>
        <v>14000</v>
      </c>
      <c r="F45" s="257">
        <f>D45*$F$42</f>
        <v>700</v>
      </c>
      <c r="G45" s="257">
        <f>D45+F45</f>
        <v>7700</v>
      </c>
      <c r="H45" s="259">
        <f>B45*G45</f>
        <v>15400</v>
      </c>
      <c r="I45" s="250">
        <v>0.6</v>
      </c>
      <c r="J45" s="257">
        <f>H45*I45</f>
        <v>9240</v>
      </c>
      <c r="K45" s="259">
        <f>H45+J45</f>
        <v>24640</v>
      </c>
      <c r="L45" s="258">
        <f t="shared" si="15"/>
        <v>0.56818181818181823</v>
      </c>
      <c r="M45" s="259">
        <f>K45/B45</f>
        <v>12320</v>
      </c>
      <c r="N45" s="242"/>
      <c r="O45" s="253" t="s">
        <v>643</v>
      </c>
    </row>
    <row r="46" spans="1:24" s="253" customFormat="1" x14ac:dyDescent="0.25">
      <c r="A46" s="254" t="s">
        <v>608</v>
      </c>
      <c r="B46" s="254">
        <v>2</v>
      </c>
      <c r="C46" s="254"/>
      <c r="D46" s="256">
        <v>25000</v>
      </c>
      <c r="E46" s="257">
        <f t="shared" si="14"/>
        <v>50000</v>
      </c>
      <c r="F46" s="257">
        <f>D46*$F$42</f>
        <v>2500</v>
      </c>
      <c r="G46" s="257">
        <f>D46+F46</f>
        <v>27500</v>
      </c>
      <c r="H46" s="259">
        <f>B46*G46</f>
        <v>55000</v>
      </c>
      <c r="I46" s="250">
        <v>0.45</v>
      </c>
      <c r="J46" s="257">
        <f>H46*I46</f>
        <v>24750</v>
      </c>
      <c r="K46" s="259">
        <f>H46+J46</f>
        <v>79750</v>
      </c>
      <c r="L46" s="258">
        <f t="shared" si="15"/>
        <v>0.62695924764890287</v>
      </c>
      <c r="M46" s="259">
        <f>K46/B46</f>
        <v>39875</v>
      </c>
      <c r="N46" s="242"/>
      <c r="O46" s="253" t="s">
        <v>643</v>
      </c>
    </row>
    <row r="47" spans="1:24" s="253" customFormat="1" x14ac:dyDescent="0.25">
      <c r="A47" s="254" t="s">
        <v>609</v>
      </c>
      <c r="B47" s="254">
        <v>2</v>
      </c>
      <c r="C47" s="254"/>
      <c r="D47" s="256">
        <v>45000</v>
      </c>
      <c r="E47" s="257">
        <f t="shared" si="14"/>
        <v>90000</v>
      </c>
      <c r="F47" s="257">
        <f>D47*$F$42</f>
        <v>4500</v>
      </c>
      <c r="G47" s="257">
        <f>D47+F47</f>
        <v>49500</v>
      </c>
      <c r="H47" s="259">
        <f>B47*G47</f>
        <v>99000</v>
      </c>
      <c r="I47" s="250">
        <v>0.55000000000000004</v>
      </c>
      <c r="J47" s="257">
        <f>H47*I47</f>
        <v>54450.000000000007</v>
      </c>
      <c r="K47" s="259">
        <f>H47+J47</f>
        <v>153450</v>
      </c>
      <c r="L47" s="258">
        <f t="shared" si="15"/>
        <v>0.5865102639296188</v>
      </c>
      <c r="M47" s="259">
        <f>K47/B47</f>
        <v>76725</v>
      </c>
      <c r="N47" s="242"/>
      <c r="O47" s="253" t="s">
        <v>643</v>
      </c>
    </row>
    <row r="48" spans="1:24" x14ac:dyDescent="0.25">
      <c r="E48" s="7">
        <f>SUM(E43:E47)</f>
        <v>164000</v>
      </c>
      <c r="G48" s="7"/>
      <c r="H48" s="7">
        <f>SUM(H43:H47)</f>
        <v>180400</v>
      </c>
      <c r="K48" s="7">
        <f>SUM(K43:K47)</f>
        <v>273900</v>
      </c>
    </row>
    <row r="49" spans="2:10" ht="15.75" thickBot="1" x14ac:dyDescent="0.3"/>
    <row r="50" spans="2:10" ht="15.75" thickBot="1" x14ac:dyDescent="0.3">
      <c r="B50" s="13" t="s">
        <v>211</v>
      </c>
      <c r="C50" s="8"/>
      <c r="D50" s="8"/>
      <c r="E50" s="8"/>
      <c r="F50" s="60">
        <f>H36+E48</f>
        <v>1584702</v>
      </c>
      <c r="G50" s="14" t="s">
        <v>6</v>
      </c>
      <c r="H50" s="59" t="s">
        <v>345</v>
      </c>
      <c r="I50" s="161">
        <v>1584702</v>
      </c>
      <c r="J50" s="14" t="s">
        <v>6</v>
      </c>
    </row>
    <row r="51" spans="2:10" ht="15.75" thickBot="1" x14ac:dyDescent="0.3">
      <c r="B51" s="13" t="s">
        <v>210</v>
      </c>
      <c r="C51" s="8"/>
      <c r="D51" s="8"/>
      <c r="E51" s="8"/>
      <c r="F51" s="60">
        <f>Q36+H48</f>
        <v>2257794.7761773947</v>
      </c>
      <c r="G51" s="14" t="s">
        <v>6</v>
      </c>
      <c r="H51" s="59" t="s">
        <v>345</v>
      </c>
      <c r="I51" s="161">
        <v>2257795</v>
      </c>
      <c r="J51" s="14" t="s">
        <v>6</v>
      </c>
    </row>
    <row r="52" spans="2:10" ht="15.75" thickBot="1" x14ac:dyDescent="0.3">
      <c r="B52" s="13" t="s">
        <v>209</v>
      </c>
      <c r="C52" s="8"/>
      <c r="D52" s="8"/>
      <c r="E52" s="8"/>
      <c r="F52" s="60">
        <f>T36+K48</f>
        <v>3365970.6212572223</v>
      </c>
      <c r="G52" s="14" t="s">
        <v>6</v>
      </c>
      <c r="H52" s="59" t="s">
        <v>345</v>
      </c>
      <c r="I52" s="161">
        <v>3365971</v>
      </c>
      <c r="J52" s="14" t="s">
        <v>6</v>
      </c>
    </row>
    <row r="53" spans="2:10" x14ac:dyDescent="0.25">
      <c r="F53" s="5"/>
    </row>
  </sheetData>
  <phoneticPr fontId="7" type="noConversion"/>
  <pageMargins left="0.7" right="0.7" top="0.75" bottom="0.75" header="0.3" footer="0.3"/>
  <pageSetup orientation="portrait" horizont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Y194"/>
  <sheetViews>
    <sheetView topLeftCell="A179" zoomScaleNormal="100" workbookViewId="0">
      <selection activeCell="E116" sqref="E116"/>
    </sheetView>
  </sheetViews>
  <sheetFormatPr baseColWidth="10" defaultRowHeight="15" x14ac:dyDescent="0.25"/>
  <cols>
    <col min="2" max="2" width="35.7109375" bestFit="1" customWidth="1"/>
    <col min="3" max="3" width="7.5703125" bestFit="1" customWidth="1"/>
    <col min="4" max="4" width="20.5703125" bestFit="1" customWidth="1"/>
    <col min="5" max="5" width="18.28515625" bestFit="1" customWidth="1"/>
  </cols>
  <sheetData>
    <row r="2" spans="1:24" x14ac:dyDescent="0.25">
      <c r="A2" s="56" t="s">
        <v>168</v>
      </c>
    </row>
    <row r="3" spans="1:24" s="253" customFormat="1" x14ac:dyDescent="0.25"/>
    <row r="4" spans="1:24" s="253" customFormat="1" x14ac:dyDescent="0.25">
      <c r="B4" s="253" t="s">
        <v>337</v>
      </c>
      <c r="C4" s="263">
        <v>0.08</v>
      </c>
      <c r="D4" s="253" t="s">
        <v>186</v>
      </c>
      <c r="E4" s="257">
        <f>'Inv Equipos'!F50*'Otras IA Tangibles'!C4</f>
        <v>126776.16</v>
      </c>
      <c r="F4" s="253" t="s">
        <v>6</v>
      </c>
      <c r="G4" s="253" t="s">
        <v>340</v>
      </c>
      <c r="R4" s="253" t="s">
        <v>644</v>
      </c>
    </row>
    <row r="5" spans="1:24" s="253" customFormat="1" x14ac:dyDescent="0.25">
      <c r="B5" s="253" t="s">
        <v>338</v>
      </c>
      <c r="C5" s="274">
        <v>0.01</v>
      </c>
      <c r="D5" s="253" t="s">
        <v>343</v>
      </c>
      <c r="E5" s="257">
        <f>'Inv Totales'!C26*C5</f>
        <v>179559.71</v>
      </c>
      <c r="F5" s="253" t="s">
        <v>6</v>
      </c>
      <c r="G5" s="253" t="s">
        <v>341</v>
      </c>
      <c r="R5" s="253" t="s">
        <v>644</v>
      </c>
    </row>
    <row r="6" spans="1:24" s="253" customFormat="1" x14ac:dyDescent="0.25">
      <c r="B6" s="253" t="s">
        <v>339</v>
      </c>
      <c r="E6" s="256">
        <v>200000</v>
      </c>
      <c r="F6" s="242" t="s">
        <v>6</v>
      </c>
      <c r="G6" s="253" t="s">
        <v>643</v>
      </c>
    </row>
    <row r="7" spans="1:24" s="253" customFormat="1" x14ac:dyDescent="0.25">
      <c r="E7" s="257"/>
    </row>
    <row r="8" spans="1:24" s="253" customFormat="1" x14ac:dyDescent="0.25">
      <c r="D8" s="266" t="s">
        <v>342</v>
      </c>
      <c r="E8" s="267">
        <v>170000</v>
      </c>
      <c r="F8" s="267" t="s">
        <v>6</v>
      </c>
    </row>
    <row r="9" spans="1:24" s="61" customFormat="1" ht="15.75" thickBot="1" x14ac:dyDescent="0.3">
      <c r="E9" s="62"/>
      <c r="F9" s="62"/>
    </row>
    <row r="11" spans="1:24" x14ac:dyDescent="0.25">
      <c r="A11" s="56" t="s">
        <v>187</v>
      </c>
      <c r="B11" s="56"/>
    </row>
    <row r="12" spans="1:24" s="253" customFormat="1" x14ac:dyDescent="0.25"/>
    <row r="13" spans="1:24" s="253" customFormat="1" x14ac:dyDescent="0.25">
      <c r="B13" s="253" t="s">
        <v>337</v>
      </c>
      <c r="C13" s="260">
        <v>0.2</v>
      </c>
      <c r="D13" s="253" t="s">
        <v>186</v>
      </c>
      <c r="E13" s="257">
        <f>'Inv Equipos'!F50*'Otras IA Tangibles'!C13</f>
        <v>316940.40000000002</v>
      </c>
      <c r="F13" s="253" t="s">
        <v>6</v>
      </c>
      <c r="G13" s="253" t="s">
        <v>188</v>
      </c>
      <c r="X13" s="253" t="s">
        <v>644</v>
      </c>
    </row>
    <row r="14" spans="1:24" s="253" customFormat="1" x14ac:dyDescent="0.25">
      <c r="B14" s="253" t="s">
        <v>338</v>
      </c>
      <c r="C14" s="260">
        <v>0.03</v>
      </c>
      <c r="D14" s="253" t="s">
        <v>344</v>
      </c>
      <c r="E14" s="257">
        <f>C14*'Inv Totales'!C24</f>
        <v>499679.13</v>
      </c>
      <c r="F14" s="253" t="s">
        <v>6</v>
      </c>
      <c r="G14" s="253" t="s">
        <v>332</v>
      </c>
      <c r="X14" s="253" t="s">
        <v>644</v>
      </c>
    </row>
    <row r="15" spans="1:24" s="253" customFormat="1" x14ac:dyDescent="0.25">
      <c r="B15" s="253" t="s">
        <v>339</v>
      </c>
      <c r="C15" s="260">
        <v>0.2</v>
      </c>
      <c r="D15" s="253" t="s">
        <v>186</v>
      </c>
      <c r="E15" s="257">
        <f>'Inv Equipos'!F50*'Otras IA Tangibles'!C15</f>
        <v>316940.40000000002</v>
      </c>
      <c r="F15" s="253" t="s">
        <v>6</v>
      </c>
      <c r="G15" s="253" t="s">
        <v>379</v>
      </c>
      <c r="X15" s="253" t="s">
        <v>646</v>
      </c>
    </row>
    <row r="16" spans="1:24" s="253" customFormat="1" x14ac:dyDescent="0.25">
      <c r="B16" s="253" t="s">
        <v>370</v>
      </c>
      <c r="C16" s="260">
        <v>0.03</v>
      </c>
      <c r="D16" s="253" t="s">
        <v>344</v>
      </c>
      <c r="E16" s="257">
        <f>C16*'Inv Totales'!C24</f>
        <v>499679.13</v>
      </c>
      <c r="F16" s="253" t="s">
        <v>6</v>
      </c>
      <c r="G16" s="253" t="s">
        <v>380</v>
      </c>
      <c r="X16" s="253" t="s">
        <v>646</v>
      </c>
    </row>
    <row r="17" spans="2:14" s="253" customFormat="1" x14ac:dyDescent="0.25">
      <c r="B17" s="253" t="s">
        <v>371</v>
      </c>
      <c r="C17" s="468">
        <f>E17/'Inv Totales'!C24</f>
        <v>2.4E-2</v>
      </c>
      <c r="D17" s="253" t="s">
        <v>344</v>
      </c>
      <c r="E17" s="257">
        <f>D28</f>
        <v>399743.304</v>
      </c>
      <c r="F17" s="253" t="s">
        <v>6</v>
      </c>
      <c r="G17" s="253" t="s">
        <v>647</v>
      </c>
    </row>
    <row r="18" spans="2:14" s="253" customFormat="1" x14ac:dyDescent="0.25">
      <c r="B18" s="253" t="s">
        <v>649</v>
      </c>
      <c r="C18" s="275"/>
      <c r="E18" s="256"/>
      <c r="F18" s="242"/>
      <c r="G18" s="253" t="s">
        <v>643</v>
      </c>
    </row>
    <row r="19" spans="2:14" s="253" customFormat="1" x14ac:dyDescent="0.25"/>
    <row r="20" spans="2:14" s="253" customFormat="1" x14ac:dyDescent="0.25">
      <c r="B20" s="264" t="s">
        <v>190</v>
      </c>
      <c r="C20" s="265" t="s">
        <v>344</v>
      </c>
      <c r="D20" s="264" t="s">
        <v>194</v>
      </c>
      <c r="E20" s="264"/>
    </row>
    <row r="21" spans="2:14" s="253" customFormat="1" x14ac:dyDescent="0.25">
      <c r="B21" s="253" t="s">
        <v>242</v>
      </c>
      <c r="C21" s="271">
        <v>8.0000000000000002E-3</v>
      </c>
      <c r="D21" s="257">
        <f>C21*'Inv Totales'!$C$24</f>
        <v>133247.76800000001</v>
      </c>
      <c r="E21" s="273"/>
    </row>
    <row r="22" spans="2:14" s="253" customFormat="1" x14ac:dyDescent="0.25">
      <c r="B22" s="253" t="s">
        <v>243</v>
      </c>
      <c r="C22" s="271">
        <v>6.0000000000000001E-3</v>
      </c>
      <c r="D22" s="257">
        <f>C22*'Inv Totales'!$C$24</f>
        <v>99935.826000000001</v>
      </c>
      <c r="E22" s="273"/>
    </row>
    <row r="23" spans="2:14" s="253" customFormat="1" x14ac:dyDescent="0.25">
      <c r="B23" s="253" t="s">
        <v>244</v>
      </c>
      <c r="C23" s="271">
        <v>2E-3</v>
      </c>
      <c r="D23" s="257">
        <f>C23*'Inv Totales'!$C$24</f>
        <v>33311.942000000003</v>
      </c>
      <c r="E23" s="273"/>
    </row>
    <row r="24" spans="2:14" s="253" customFormat="1" x14ac:dyDescent="0.25">
      <c r="B24" s="253" t="s">
        <v>245</v>
      </c>
      <c r="C24" s="271">
        <v>2E-3</v>
      </c>
      <c r="D24" s="257">
        <f>C24*'Inv Totales'!$C$24</f>
        <v>33311.942000000003</v>
      </c>
      <c r="E24" s="273"/>
      <c r="N24" s="253" t="s">
        <v>645</v>
      </c>
    </row>
    <row r="25" spans="2:14" s="253" customFormat="1" x14ac:dyDescent="0.25">
      <c r="B25" s="253" t="s">
        <v>246</v>
      </c>
      <c r="C25" s="271">
        <v>2E-3</v>
      </c>
      <c r="D25" s="257">
        <f>C25*'Inv Totales'!$C$24</f>
        <v>33311.942000000003</v>
      </c>
      <c r="E25" s="273"/>
    </row>
    <row r="26" spans="2:14" s="253" customFormat="1" x14ac:dyDescent="0.25">
      <c r="B26" s="253" t="s">
        <v>193</v>
      </c>
      <c r="C26" s="271">
        <v>1E-3</v>
      </c>
      <c r="D26" s="257">
        <f>C26*'Inv Totales'!$C$24</f>
        <v>16655.971000000001</v>
      </c>
      <c r="E26" s="273"/>
    </row>
    <row r="27" spans="2:14" s="253" customFormat="1" x14ac:dyDescent="0.25">
      <c r="B27" s="253" t="s">
        <v>247</v>
      </c>
      <c r="C27" s="271">
        <v>3.0000000000000001E-3</v>
      </c>
      <c r="D27" s="257">
        <f>C27*'Inv Totales'!$C$24</f>
        <v>49967.913</v>
      </c>
      <c r="E27" s="273"/>
    </row>
    <row r="28" spans="2:14" s="253" customFormat="1" x14ac:dyDescent="0.25">
      <c r="B28" s="264" t="s">
        <v>169</v>
      </c>
      <c r="C28" s="272">
        <f>SUM(C21:C27)</f>
        <v>2.4000000000000004E-2</v>
      </c>
      <c r="D28" s="259">
        <f>SUM(D21:D27)</f>
        <v>399743.304</v>
      </c>
    </row>
    <row r="29" spans="2:14" s="253" customFormat="1" x14ac:dyDescent="0.25"/>
    <row r="30" spans="2:14" s="253" customFormat="1" x14ac:dyDescent="0.25">
      <c r="D30" s="266" t="s">
        <v>342</v>
      </c>
      <c r="E30" s="267">
        <v>400000</v>
      </c>
      <c r="F30" s="267" t="s">
        <v>6</v>
      </c>
    </row>
    <row r="31" spans="2:14" s="61" customFormat="1" ht="15.75" thickBot="1" x14ac:dyDescent="0.3"/>
    <row r="33" spans="1:12" x14ac:dyDescent="0.25">
      <c r="A33" s="56" t="s">
        <v>195</v>
      </c>
    </row>
    <row r="34" spans="1:12" s="253" customFormat="1" x14ac:dyDescent="0.25">
      <c r="C34" s="483" t="s">
        <v>740</v>
      </c>
      <c r="D34" s="483"/>
    </row>
    <row r="35" spans="1:12" s="253" customFormat="1" x14ac:dyDescent="0.25">
      <c r="B35" s="253" t="s">
        <v>337</v>
      </c>
      <c r="C35" s="263">
        <v>0.45</v>
      </c>
      <c r="D35" s="253" t="s">
        <v>186</v>
      </c>
      <c r="E35" s="257">
        <f>C35*'Inv Equipos'!F50</f>
        <v>713115.9</v>
      </c>
      <c r="F35" s="253" t="s">
        <v>6</v>
      </c>
      <c r="G35" s="253" t="s">
        <v>644</v>
      </c>
    </row>
    <row r="36" spans="1:12" s="253" customFormat="1" x14ac:dyDescent="0.25">
      <c r="B36" s="253" t="s">
        <v>338</v>
      </c>
      <c r="C36" s="263">
        <v>0.1</v>
      </c>
      <c r="D36" s="253" t="s">
        <v>344</v>
      </c>
      <c r="E36" s="257">
        <f>C36*'Inv Totales'!C24</f>
        <v>1665597.1</v>
      </c>
      <c r="F36" s="253" t="s">
        <v>6</v>
      </c>
      <c r="G36" s="253" t="s">
        <v>644</v>
      </c>
    </row>
    <row r="37" spans="1:12" s="253" customFormat="1" x14ac:dyDescent="0.25">
      <c r="B37" s="253" t="s">
        <v>339</v>
      </c>
      <c r="C37" s="263">
        <v>0.5</v>
      </c>
      <c r="D37" s="253" t="s">
        <v>186</v>
      </c>
      <c r="E37" s="257">
        <f>C37*'Inv Equipos'!F50</f>
        <v>792351</v>
      </c>
      <c r="F37" s="253" t="s">
        <v>6</v>
      </c>
      <c r="G37" s="253" t="s">
        <v>377</v>
      </c>
      <c r="L37" s="253" t="s">
        <v>374</v>
      </c>
    </row>
    <row r="38" spans="1:12" s="253" customFormat="1" x14ac:dyDescent="0.25">
      <c r="B38" s="253" t="s">
        <v>370</v>
      </c>
      <c r="C38" s="263">
        <v>0.1</v>
      </c>
      <c r="D38" s="253" t="s">
        <v>344</v>
      </c>
      <c r="E38" s="257">
        <f>C38*'Inv Totales'!C24</f>
        <v>1665597.1</v>
      </c>
      <c r="F38" s="253" t="s">
        <v>6</v>
      </c>
      <c r="G38" s="253" t="s">
        <v>378</v>
      </c>
      <c r="L38" s="253" t="s">
        <v>374</v>
      </c>
    </row>
    <row r="39" spans="1:12" s="253" customFormat="1" x14ac:dyDescent="0.25"/>
    <row r="40" spans="1:12" s="253" customFormat="1" x14ac:dyDescent="0.25">
      <c r="B40" s="264" t="s">
        <v>171</v>
      </c>
      <c r="E40" s="264" t="s">
        <v>194</v>
      </c>
      <c r="G40" s="264" t="s">
        <v>158</v>
      </c>
      <c r="L40" s="253" t="s">
        <v>644</v>
      </c>
    </row>
    <row r="41" spans="1:12" s="253" customFormat="1" x14ac:dyDescent="0.25">
      <c r="B41" s="242" t="s">
        <v>191</v>
      </c>
      <c r="E41" s="256">
        <v>151.8684887459807</v>
      </c>
      <c r="F41" s="253" t="s">
        <v>6</v>
      </c>
      <c r="G41" s="242"/>
      <c r="H41" s="253" t="s">
        <v>643</v>
      </c>
    </row>
    <row r="42" spans="1:12" s="253" customFormat="1" x14ac:dyDescent="0.25">
      <c r="B42" s="242" t="s">
        <v>192</v>
      </c>
      <c r="E42" s="256">
        <v>5513.144694533762</v>
      </c>
      <c r="F42" s="253" t="s">
        <v>6</v>
      </c>
      <c r="G42" s="242"/>
      <c r="H42" s="253" t="s">
        <v>643</v>
      </c>
    </row>
    <row r="43" spans="1:12" s="253" customFormat="1" x14ac:dyDescent="0.25">
      <c r="B43" s="264" t="s">
        <v>196</v>
      </c>
      <c r="C43" s="264"/>
      <c r="D43" s="264"/>
      <c r="E43" s="259">
        <f>SUM(E41:E42)</f>
        <v>5665.0131832797424</v>
      </c>
      <c r="F43" s="253" t="s">
        <v>6</v>
      </c>
    </row>
    <row r="44" spans="1:12" s="253" customFormat="1" x14ac:dyDescent="0.25"/>
    <row r="45" spans="1:12" s="264" customFormat="1" x14ac:dyDescent="0.25">
      <c r="B45" s="264" t="s">
        <v>648</v>
      </c>
      <c r="D45" s="265" t="s">
        <v>204</v>
      </c>
      <c r="E45" s="265" t="s">
        <v>205</v>
      </c>
      <c r="F45" s="265" t="s">
        <v>194</v>
      </c>
      <c r="G45" s="264" t="s">
        <v>158</v>
      </c>
    </row>
    <row r="46" spans="1:12" s="253" customFormat="1" x14ac:dyDescent="0.25">
      <c r="B46" s="242" t="s">
        <v>199</v>
      </c>
      <c r="C46" s="242"/>
      <c r="D46" s="241">
        <v>101.13786911999999</v>
      </c>
      <c r="E46" s="241">
        <v>650</v>
      </c>
      <c r="F46" s="256">
        <f>D46*E46</f>
        <v>65739.614927999995</v>
      </c>
      <c r="G46" s="242"/>
      <c r="H46" s="253" t="s">
        <v>643</v>
      </c>
    </row>
    <row r="47" spans="1:12" s="253" customFormat="1" x14ac:dyDescent="0.25">
      <c r="B47" s="242" t="s">
        <v>200</v>
      </c>
      <c r="C47" s="242"/>
      <c r="D47" s="241">
        <v>97.913372559999999</v>
      </c>
      <c r="E47" s="241">
        <v>300</v>
      </c>
      <c r="F47" s="256">
        <f t="shared" ref="F47:F51" si="0">D47*E47</f>
        <v>29374.011768</v>
      </c>
      <c r="G47" s="242"/>
      <c r="H47" s="253" t="s">
        <v>643</v>
      </c>
    </row>
    <row r="48" spans="1:12" s="253" customFormat="1" x14ac:dyDescent="0.25">
      <c r="B48" s="242" t="s">
        <v>201</v>
      </c>
      <c r="C48" s="242"/>
      <c r="D48" s="241">
        <v>150</v>
      </c>
      <c r="E48" s="241">
        <v>800</v>
      </c>
      <c r="F48" s="256">
        <f t="shared" si="0"/>
        <v>120000</v>
      </c>
      <c r="G48" s="242"/>
      <c r="H48" s="253" t="s">
        <v>643</v>
      </c>
    </row>
    <row r="49" spans="1:17" s="253" customFormat="1" x14ac:dyDescent="0.25">
      <c r="B49" s="242" t="s">
        <v>202</v>
      </c>
      <c r="C49" s="242"/>
      <c r="D49" s="241">
        <v>157.46700000000001</v>
      </c>
      <c r="E49" s="241">
        <v>900</v>
      </c>
      <c r="F49" s="256">
        <f t="shared" si="0"/>
        <v>141720.30000000002</v>
      </c>
      <c r="G49" s="242"/>
      <c r="H49" s="253" t="s">
        <v>643</v>
      </c>
    </row>
    <row r="50" spans="1:17" s="253" customFormat="1" x14ac:dyDescent="0.25">
      <c r="B50" s="242" t="s">
        <v>207</v>
      </c>
      <c r="C50" s="242"/>
      <c r="D50" s="241">
        <v>2065.0587719999999</v>
      </c>
      <c r="E50" s="241">
        <v>400</v>
      </c>
      <c r="F50" s="256">
        <f t="shared" si="0"/>
        <v>826023.50879999995</v>
      </c>
      <c r="G50" s="242"/>
      <c r="H50" s="253" t="s">
        <v>643</v>
      </c>
    </row>
    <row r="51" spans="1:17" s="253" customFormat="1" x14ac:dyDescent="0.25">
      <c r="B51" s="242" t="s">
        <v>203</v>
      </c>
      <c r="C51" s="242"/>
      <c r="D51" s="241">
        <v>221</v>
      </c>
      <c r="E51" s="241">
        <v>200</v>
      </c>
      <c r="F51" s="256">
        <f t="shared" si="0"/>
        <v>44200</v>
      </c>
      <c r="G51" s="242"/>
      <c r="H51" s="253" t="s">
        <v>643</v>
      </c>
    </row>
    <row r="52" spans="1:17" s="253" customFormat="1" x14ac:dyDescent="0.25">
      <c r="B52" s="242" t="s">
        <v>198</v>
      </c>
      <c r="C52" s="242"/>
      <c r="D52" s="242"/>
      <c r="E52" s="242"/>
      <c r="F52" s="256">
        <v>20000</v>
      </c>
      <c r="G52" s="242"/>
      <c r="H52" s="253" t="s">
        <v>643</v>
      </c>
    </row>
    <row r="53" spans="1:17" s="253" customFormat="1" x14ac:dyDescent="0.25">
      <c r="B53" s="242" t="s">
        <v>197</v>
      </c>
      <c r="C53" s="242"/>
      <c r="D53" s="242"/>
      <c r="E53" s="242"/>
      <c r="F53" s="256">
        <f>50*200</f>
        <v>10000</v>
      </c>
      <c r="G53" s="242"/>
      <c r="H53" s="253" t="s">
        <v>643</v>
      </c>
    </row>
    <row r="54" spans="1:17" s="253" customFormat="1" x14ac:dyDescent="0.25">
      <c r="B54" s="264" t="s">
        <v>653</v>
      </c>
      <c r="F54" s="259">
        <f>SUM(F46:F53)</f>
        <v>1257057.4354960001</v>
      </c>
    </row>
    <row r="55" spans="1:17" s="253" customFormat="1" x14ac:dyDescent="0.25">
      <c r="F55" s="259"/>
    </row>
    <row r="56" spans="1:17" s="253" customFormat="1" x14ac:dyDescent="0.25">
      <c r="D56" s="266" t="s">
        <v>342</v>
      </c>
      <c r="E56" s="267">
        <v>1300000</v>
      </c>
      <c r="F56" s="267" t="s">
        <v>6</v>
      </c>
    </row>
    <row r="57" spans="1:17" s="61" customFormat="1" ht="15.75" thickBot="1" x14ac:dyDescent="0.3"/>
    <row r="58" spans="1:17" x14ac:dyDescent="0.25">
      <c r="F58" s="7"/>
    </row>
    <row r="59" spans="1:17" x14ac:dyDescent="0.25">
      <c r="A59" s="56" t="s">
        <v>208</v>
      </c>
      <c r="B59" s="56"/>
    </row>
    <row r="60" spans="1:17" s="253" customFormat="1" x14ac:dyDescent="0.25">
      <c r="G60" s="253" t="s">
        <v>650</v>
      </c>
    </row>
    <row r="61" spans="1:17" s="253" customFormat="1" x14ac:dyDescent="0.25">
      <c r="B61" s="253" t="s">
        <v>337</v>
      </c>
      <c r="C61" s="263">
        <v>0.26</v>
      </c>
      <c r="D61" s="253" t="s">
        <v>186</v>
      </c>
      <c r="E61" s="257">
        <f>'Inv Equipos'!F51*'Otras IA Tangibles'!C61</f>
        <v>587026.64180612261</v>
      </c>
      <c r="F61" s="253" t="s">
        <v>6</v>
      </c>
      <c r="G61" s="253" t="s">
        <v>651</v>
      </c>
      <c r="Q61" s="253" t="s">
        <v>644</v>
      </c>
    </row>
    <row r="62" spans="1:17" s="253" customFormat="1" x14ac:dyDescent="0.25">
      <c r="B62" s="253" t="s">
        <v>338</v>
      </c>
      <c r="C62" s="263">
        <v>0.05</v>
      </c>
      <c r="D62" s="253" t="s">
        <v>343</v>
      </c>
      <c r="E62" s="257">
        <f>C62*'Inv Totales'!C26</f>
        <v>897798.55</v>
      </c>
      <c r="F62" s="253" t="s">
        <v>6</v>
      </c>
      <c r="G62" s="253" t="s">
        <v>328</v>
      </c>
      <c r="Q62" s="253" t="s">
        <v>644</v>
      </c>
    </row>
    <row r="63" spans="1:17" s="253" customFormat="1" x14ac:dyDescent="0.25">
      <c r="B63" s="253" t="s">
        <v>339</v>
      </c>
      <c r="C63" s="268"/>
      <c r="E63" s="256"/>
      <c r="F63" s="242"/>
      <c r="G63" s="253" t="s">
        <v>643</v>
      </c>
    </row>
    <row r="64" spans="1:17" s="253" customFormat="1" x14ac:dyDescent="0.25">
      <c r="C64" s="268"/>
      <c r="E64" s="257"/>
    </row>
    <row r="65" spans="1:25" s="253" customFormat="1" x14ac:dyDescent="0.25">
      <c r="D65" s="266" t="s">
        <v>342</v>
      </c>
      <c r="E65" s="267">
        <v>750000</v>
      </c>
      <c r="F65" s="267" t="s">
        <v>6</v>
      </c>
    </row>
    <row r="66" spans="1:25" s="61" customFormat="1" ht="15.75" thickBot="1" x14ac:dyDescent="0.3">
      <c r="D66" s="63"/>
    </row>
    <row r="68" spans="1:25" x14ac:dyDescent="0.25">
      <c r="A68" s="56" t="s">
        <v>214</v>
      </c>
    </row>
    <row r="69" spans="1:25" s="253" customFormat="1" x14ac:dyDescent="0.25">
      <c r="C69" s="482" t="s">
        <v>369</v>
      </c>
      <c r="D69" s="482"/>
    </row>
    <row r="70" spans="1:25" s="253" customFormat="1" x14ac:dyDescent="0.25">
      <c r="B70" s="253" t="s">
        <v>337</v>
      </c>
      <c r="C70" s="263">
        <v>0.68</v>
      </c>
      <c r="D70" s="253" t="s">
        <v>346</v>
      </c>
      <c r="E70" s="257">
        <f>'Inv Equipos'!F51*'Otras IA Tangibles'!C70</f>
        <v>1535300.4478006284</v>
      </c>
      <c r="F70" s="253" t="s">
        <v>6</v>
      </c>
      <c r="G70" s="253" t="s">
        <v>215</v>
      </c>
      <c r="P70" s="253" t="s">
        <v>644</v>
      </c>
    </row>
    <row r="71" spans="1:25" s="253" customFormat="1" x14ac:dyDescent="0.25">
      <c r="B71" s="253" t="s">
        <v>338</v>
      </c>
      <c r="C71" s="263">
        <v>0.2</v>
      </c>
      <c r="D71" s="253" t="s">
        <v>343</v>
      </c>
      <c r="E71" s="257">
        <f>C71*'Inv Totales'!C26</f>
        <v>3591194.2</v>
      </c>
      <c r="F71" s="253" t="s">
        <v>6</v>
      </c>
      <c r="G71" s="253" t="s">
        <v>329</v>
      </c>
      <c r="L71" s="253" t="s">
        <v>644</v>
      </c>
    </row>
    <row r="72" spans="1:25" s="253" customFormat="1" x14ac:dyDescent="0.25">
      <c r="B72" s="253" t="s">
        <v>339</v>
      </c>
      <c r="C72" s="263">
        <v>0.13</v>
      </c>
      <c r="D72" s="253" t="s">
        <v>344</v>
      </c>
      <c r="E72" s="257">
        <f>C72*'Inv Totales'!C24</f>
        <v>2165276.23</v>
      </c>
      <c r="F72" s="253" t="s">
        <v>6</v>
      </c>
      <c r="G72" s="253" t="s">
        <v>652</v>
      </c>
      <c r="L72" s="253" t="s">
        <v>644</v>
      </c>
    </row>
    <row r="73" spans="1:25" s="253" customFormat="1" x14ac:dyDescent="0.25">
      <c r="B73" s="253" t="s">
        <v>370</v>
      </c>
      <c r="C73" s="263">
        <v>1</v>
      </c>
      <c r="D73" s="253" t="s">
        <v>186</v>
      </c>
      <c r="E73" s="257">
        <f>'Inv Equipos'!F50*'Otras IA Tangibles'!C73</f>
        <v>1584702</v>
      </c>
      <c r="F73" s="253" t="s">
        <v>6</v>
      </c>
      <c r="G73" s="253" t="s">
        <v>372</v>
      </c>
      <c r="L73" s="253" t="s">
        <v>374</v>
      </c>
    </row>
    <row r="74" spans="1:25" s="253" customFormat="1" x14ac:dyDescent="0.25">
      <c r="B74" s="253" t="s">
        <v>371</v>
      </c>
      <c r="C74" s="263">
        <v>0.2</v>
      </c>
      <c r="D74" s="253" t="s">
        <v>344</v>
      </c>
      <c r="E74" s="257">
        <f>C74*'Inv Totales'!C24</f>
        <v>3331194.2</v>
      </c>
      <c r="F74" s="253" t="s">
        <v>6</v>
      </c>
      <c r="G74" s="253" t="s">
        <v>373</v>
      </c>
      <c r="L74" s="253" t="s">
        <v>374</v>
      </c>
    </row>
    <row r="75" spans="1:25" s="253" customFormat="1" x14ac:dyDescent="0.25">
      <c r="B75" s="253" t="s">
        <v>649</v>
      </c>
      <c r="E75" s="256"/>
      <c r="F75" s="242"/>
      <c r="G75" s="253" t="s">
        <v>643</v>
      </c>
    </row>
    <row r="76" spans="1:25" s="253" customFormat="1" x14ac:dyDescent="0.25"/>
    <row r="77" spans="1:25" s="253" customFormat="1" x14ac:dyDescent="0.25">
      <c r="D77" s="266" t="s">
        <v>342</v>
      </c>
      <c r="E77" s="267">
        <v>2000000</v>
      </c>
      <c r="F77" s="267" t="s">
        <v>6</v>
      </c>
      <c r="Y77" s="253" t="s">
        <v>644</v>
      </c>
    </row>
    <row r="78" spans="1:25" s="61" customFormat="1" ht="15.75" thickBot="1" x14ac:dyDescent="0.3">
      <c r="J78" s="62"/>
    </row>
    <row r="80" spans="1:25" x14ac:dyDescent="0.25">
      <c r="A80" s="56" t="s">
        <v>216</v>
      </c>
      <c r="B80" s="56"/>
    </row>
    <row r="81" spans="2:20" s="253" customFormat="1" x14ac:dyDescent="0.25"/>
    <row r="82" spans="2:20" s="253" customFormat="1" x14ac:dyDescent="0.25">
      <c r="B82" s="253" t="s">
        <v>337</v>
      </c>
      <c r="C82" s="263">
        <v>0.15</v>
      </c>
      <c r="D82" s="253" t="s">
        <v>346</v>
      </c>
      <c r="E82" s="257">
        <f>C82*'Inv Equipos'!F51</f>
        <v>338669.2164266092</v>
      </c>
      <c r="F82" s="253" t="s">
        <v>6</v>
      </c>
      <c r="G82" s="253" t="s">
        <v>206</v>
      </c>
      <c r="T82" s="253" t="s">
        <v>644</v>
      </c>
    </row>
    <row r="83" spans="2:20" s="253" customFormat="1" x14ac:dyDescent="0.25">
      <c r="B83" s="253" t="s">
        <v>338</v>
      </c>
      <c r="C83" s="263">
        <v>0.04</v>
      </c>
      <c r="D83" s="253" t="s">
        <v>344</v>
      </c>
      <c r="E83" s="257">
        <f>C83*'Inv Totales'!C24</f>
        <v>666238.84</v>
      </c>
      <c r="F83" s="253" t="s">
        <v>6</v>
      </c>
      <c r="G83" s="253" t="s">
        <v>330</v>
      </c>
      <c r="T83" s="253" t="s">
        <v>644</v>
      </c>
    </row>
    <row r="84" spans="2:20" s="253" customFormat="1" x14ac:dyDescent="0.25">
      <c r="B84" s="253" t="s">
        <v>339</v>
      </c>
      <c r="C84" s="263">
        <v>0.2</v>
      </c>
      <c r="D84" s="253" t="s">
        <v>186</v>
      </c>
      <c r="E84" s="257">
        <f>'Inv Equipos'!I50*C84</f>
        <v>316940.40000000002</v>
      </c>
      <c r="F84" s="253" t="s">
        <v>6</v>
      </c>
      <c r="G84" s="253" t="s">
        <v>375</v>
      </c>
      <c r="M84" s="253" t="s">
        <v>374</v>
      </c>
    </row>
    <row r="85" spans="2:20" s="253" customFormat="1" x14ac:dyDescent="0.25">
      <c r="B85" s="253" t="s">
        <v>370</v>
      </c>
      <c r="C85" s="263">
        <v>0.05</v>
      </c>
      <c r="D85" s="253" t="s">
        <v>344</v>
      </c>
      <c r="E85" s="257">
        <f>C85*'Inv Totales'!C24</f>
        <v>832798.55</v>
      </c>
      <c r="F85" s="253" t="s">
        <v>6</v>
      </c>
      <c r="G85" s="253" t="s">
        <v>376</v>
      </c>
      <c r="M85" s="253" t="s">
        <v>374</v>
      </c>
    </row>
    <row r="86" spans="2:20" s="253" customFormat="1" x14ac:dyDescent="0.25">
      <c r="B86" s="253" t="s">
        <v>371</v>
      </c>
      <c r="C86" s="257"/>
      <c r="D86" s="257"/>
      <c r="E86" s="256"/>
      <c r="F86" s="242"/>
      <c r="G86" s="253" t="s">
        <v>643</v>
      </c>
      <c r="R86" s="253" t="s">
        <v>645</v>
      </c>
    </row>
    <row r="87" spans="2:20" s="253" customFormat="1" x14ac:dyDescent="0.25">
      <c r="D87" s="257"/>
    </row>
    <row r="88" spans="2:20" s="253" customFormat="1" x14ac:dyDescent="0.25">
      <c r="D88" s="266" t="s">
        <v>342</v>
      </c>
      <c r="E88" s="267">
        <v>500000</v>
      </c>
      <c r="F88" s="267" t="s">
        <v>6</v>
      </c>
    </row>
    <row r="89" spans="2:20" s="253" customFormat="1" x14ac:dyDescent="0.25">
      <c r="D89" s="257"/>
    </row>
    <row r="90" spans="2:20" s="253" customFormat="1" x14ac:dyDescent="0.25">
      <c r="C90" s="253" t="s">
        <v>654</v>
      </c>
    </row>
    <row r="91" spans="2:20" s="253" customFormat="1" x14ac:dyDescent="0.25">
      <c r="B91" s="257" t="s">
        <v>221</v>
      </c>
      <c r="C91" s="260">
        <v>0.41</v>
      </c>
      <c r="E91" s="257">
        <f>C91*$E$88</f>
        <v>205000</v>
      </c>
      <c r="F91" s="253" t="s">
        <v>6</v>
      </c>
    </row>
    <row r="92" spans="2:20" s="253" customFormat="1" x14ac:dyDescent="0.25">
      <c r="B92" s="257" t="s">
        <v>222</v>
      </c>
      <c r="C92" s="260">
        <v>0.14000000000000001</v>
      </c>
      <c r="E92" s="257">
        <f>C92*$E$88</f>
        <v>70000</v>
      </c>
      <c r="F92" s="253" t="s">
        <v>6</v>
      </c>
    </row>
    <row r="93" spans="2:20" s="253" customFormat="1" x14ac:dyDescent="0.25">
      <c r="B93" s="257" t="s">
        <v>223</v>
      </c>
      <c r="C93" s="260">
        <v>0.4</v>
      </c>
      <c r="E93" s="257">
        <f>C93*$E$88</f>
        <v>200000</v>
      </c>
      <c r="F93" s="253" t="s">
        <v>6</v>
      </c>
    </row>
    <row r="94" spans="2:20" s="253" customFormat="1" x14ac:dyDescent="0.25">
      <c r="B94" s="257" t="s">
        <v>224</v>
      </c>
      <c r="C94" s="260">
        <v>0.05</v>
      </c>
      <c r="E94" s="257">
        <f>C94*$E$88</f>
        <v>25000</v>
      </c>
      <c r="F94" s="253" t="s">
        <v>6</v>
      </c>
    </row>
    <row r="95" spans="2:20" s="253" customFormat="1" x14ac:dyDescent="0.25">
      <c r="E95" s="257">
        <f>SUM(E91:E94)</f>
        <v>500000</v>
      </c>
      <c r="F95" s="253" t="s">
        <v>6</v>
      </c>
    </row>
    <row r="96" spans="2:20" s="61" customFormat="1" ht="15.75" thickBot="1" x14ac:dyDescent="0.3"/>
    <row r="98" spans="1:22" x14ac:dyDescent="0.25">
      <c r="A98" s="56" t="s">
        <v>217</v>
      </c>
    </row>
    <row r="99" spans="1:22" s="253" customFormat="1" x14ac:dyDescent="0.25"/>
    <row r="100" spans="1:22" s="253" customFormat="1" x14ac:dyDescent="0.25">
      <c r="B100" s="253" t="s">
        <v>337</v>
      </c>
      <c r="C100" s="263">
        <v>0.09</v>
      </c>
      <c r="D100" s="253" t="s">
        <v>186</v>
      </c>
      <c r="E100" s="257">
        <f>C100*'Inv Equipos'!F50</f>
        <v>142623.18</v>
      </c>
      <c r="F100" s="253" t="s">
        <v>6</v>
      </c>
      <c r="G100" s="253" t="s">
        <v>218</v>
      </c>
      <c r="U100" s="253" t="s">
        <v>645</v>
      </c>
    </row>
    <row r="101" spans="1:22" s="253" customFormat="1" x14ac:dyDescent="0.25">
      <c r="B101" s="253" t="s">
        <v>338</v>
      </c>
      <c r="C101" s="263">
        <v>0.02</v>
      </c>
      <c r="D101" s="253" t="s">
        <v>343</v>
      </c>
      <c r="E101" s="257">
        <f>C101*'Inv Totales'!C26</f>
        <v>359119.42</v>
      </c>
      <c r="F101" s="253" t="s">
        <v>6</v>
      </c>
      <c r="G101" s="253" t="s">
        <v>331</v>
      </c>
      <c r="U101" s="253" t="s">
        <v>645</v>
      </c>
    </row>
    <row r="102" spans="1:22" s="253" customFormat="1" x14ac:dyDescent="0.25">
      <c r="B102" s="253" t="s">
        <v>339</v>
      </c>
      <c r="C102" s="257"/>
      <c r="D102" s="257"/>
      <c r="E102" s="256"/>
      <c r="F102" s="242"/>
      <c r="G102" s="253" t="s">
        <v>643</v>
      </c>
    </row>
    <row r="103" spans="1:22" s="253" customFormat="1" x14ac:dyDescent="0.25"/>
    <row r="104" spans="1:22" s="253" customFormat="1" x14ac:dyDescent="0.25">
      <c r="D104" s="266" t="s">
        <v>342</v>
      </c>
      <c r="E104" s="267">
        <v>240000</v>
      </c>
      <c r="F104" s="267" t="s">
        <v>6</v>
      </c>
    </row>
    <row r="105" spans="1:22" s="61" customFormat="1" ht="15.75" thickBot="1" x14ac:dyDescent="0.3"/>
    <row r="107" spans="1:22" x14ac:dyDescent="0.25">
      <c r="A107" s="56" t="s">
        <v>219</v>
      </c>
      <c r="B107" s="56"/>
    </row>
    <row r="108" spans="1:22" s="253" customFormat="1" x14ac:dyDescent="0.25"/>
    <row r="109" spans="1:22" s="253" customFormat="1" x14ac:dyDescent="0.25">
      <c r="B109" s="253" t="s">
        <v>337</v>
      </c>
      <c r="C109" s="263">
        <v>0.55000000000000004</v>
      </c>
      <c r="D109" s="253" t="s">
        <v>186</v>
      </c>
      <c r="E109" s="257">
        <f>C109*'Inv Equipos'!F50</f>
        <v>871586.10000000009</v>
      </c>
      <c r="F109" s="253" t="s">
        <v>6</v>
      </c>
      <c r="G109" s="253" t="s">
        <v>220</v>
      </c>
      <c r="L109" s="269"/>
      <c r="V109" s="253" t="s">
        <v>644</v>
      </c>
    </row>
    <row r="110" spans="1:22" s="253" customFormat="1" x14ac:dyDescent="0.25">
      <c r="B110" s="253" t="s">
        <v>338</v>
      </c>
      <c r="C110" s="263">
        <v>0.14000000000000001</v>
      </c>
      <c r="D110" s="253" t="s">
        <v>343</v>
      </c>
      <c r="E110" s="257">
        <f>C110*'Inv Totales'!C24</f>
        <v>2331835.9400000004</v>
      </c>
      <c r="F110" s="253" t="s">
        <v>6</v>
      </c>
      <c r="G110" s="253" t="s">
        <v>656</v>
      </c>
      <c r="V110" s="253" t="s">
        <v>644</v>
      </c>
    </row>
    <row r="111" spans="1:22" s="253" customFormat="1" x14ac:dyDescent="0.25">
      <c r="B111" s="253" t="s">
        <v>339</v>
      </c>
      <c r="C111" s="263">
        <v>0.1</v>
      </c>
      <c r="D111" s="253" t="s">
        <v>344</v>
      </c>
      <c r="E111" s="257">
        <f>C111*'Inv Totales'!C24</f>
        <v>1665597.1</v>
      </c>
      <c r="F111" s="253" t="s">
        <v>6</v>
      </c>
      <c r="G111" s="253" t="s">
        <v>378</v>
      </c>
      <c r="M111" s="253" t="s">
        <v>374</v>
      </c>
    </row>
    <row r="112" spans="1:22" s="253" customFormat="1" x14ac:dyDescent="0.25">
      <c r="B112" s="253" t="s">
        <v>370</v>
      </c>
      <c r="C112" s="276">
        <f>C135</f>
        <v>0.17500000000000004</v>
      </c>
      <c r="E112" s="257">
        <f>E135</f>
        <v>2914794.9249999998</v>
      </c>
      <c r="F112" s="253" t="s">
        <v>6</v>
      </c>
      <c r="G112" s="253" t="s">
        <v>655</v>
      </c>
      <c r="H112" s="253" t="s">
        <v>644</v>
      </c>
    </row>
    <row r="113" spans="2:17" s="253" customFormat="1" x14ac:dyDescent="0.25">
      <c r="B113" s="253" t="s">
        <v>371</v>
      </c>
      <c r="C113" s="268"/>
      <c r="E113" s="256"/>
      <c r="F113" s="242"/>
      <c r="G113" s="253" t="s">
        <v>643</v>
      </c>
    </row>
    <row r="114" spans="2:17" s="253" customFormat="1" x14ac:dyDescent="0.25"/>
    <row r="115" spans="2:17" s="253" customFormat="1" x14ac:dyDescent="0.25">
      <c r="D115" s="266" t="s">
        <v>342</v>
      </c>
      <c r="E115" s="267">
        <v>1900000</v>
      </c>
      <c r="F115" s="267" t="s">
        <v>6</v>
      </c>
    </row>
    <row r="116" spans="2:17" s="253" customFormat="1" x14ac:dyDescent="0.25"/>
    <row r="117" spans="2:17" s="253" customFormat="1" x14ac:dyDescent="0.25">
      <c r="C117" s="270" t="s">
        <v>344</v>
      </c>
    </row>
    <row r="118" spans="2:17" s="253" customFormat="1" x14ac:dyDescent="0.25">
      <c r="B118" s="242" t="s">
        <v>225</v>
      </c>
      <c r="C118" s="271">
        <v>0.03</v>
      </c>
      <c r="E118" s="256">
        <f>C118*'Inv Totales'!$C$24</f>
        <v>499679.13</v>
      </c>
      <c r="F118" s="242" t="s">
        <v>6</v>
      </c>
      <c r="P118" s="269"/>
      <c r="Q118" s="253" t="s">
        <v>644</v>
      </c>
    </row>
    <row r="119" spans="2:17" s="253" customFormat="1" x14ac:dyDescent="0.25">
      <c r="B119" s="242" t="s">
        <v>226</v>
      </c>
      <c r="C119" s="271">
        <v>0.01</v>
      </c>
      <c r="E119" s="256">
        <f>C119*'Inv Totales'!$C$24</f>
        <v>166559.71</v>
      </c>
      <c r="F119" s="242" t="s">
        <v>6</v>
      </c>
    </row>
    <row r="120" spans="2:17" s="253" customFormat="1" x14ac:dyDescent="0.25">
      <c r="B120" s="242" t="s">
        <v>227</v>
      </c>
      <c r="C120" s="271">
        <v>1.8000000000000002E-2</v>
      </c>
      <c r="E120" s="256">
        <f>C120*'Inv Totales'!$C$24</f>
        <v>299807.47800000006</v>
      </c>
      <c r="F120" s="242" t="s">
        <v>6</v>
      </c>
    </row>
    <row r="121" spans="2:17" s="253" customFormat="1" x14ac:dyDescent="0.25">
      <c r="B121" s="242" t="s">
        <v>228</v>
      </c>
      <c r="C121" s="271">
        <v>1.3000000000000001E-2</v>
      </c>
      <c r="E121" s="256">
        <f>C121*'Inv Totales'!$C$24</f>
        <v>216527.62300000002</v>
      </c>
      <c r="F121" s="242" t="s">
        <v>6</v>
      </c>
    </row>
    <row r="122" spans="2:17" s="253" customFormat="1" x14ac:dyDescent="0.25">
      <c r="B122" s="242" t="s">
        <v>229</v>
      </c>
      <c r="C122" s="271">
        <v>8.0000000000000002E-3</v>
      </c>
      <c r="E122" s="256">
        <f>C122*'Inv Totales'!$C$24</f>
        <v>133247.76800000001</v>
      </c>
      <c r="F122" s="242" t="s">
        <v>6</v>
      </c>
    </row>
    <row r="123" spans="2:17" s="253" customFormat="1" x14ac:dyDescent="0.25">
      <c r="B123" s="242" t="s">
        <v>230</v>
      </c>
      <c r="C123" s="271">
        <v>1.3000000000000001E-2</v>
      </c>
      <c r="E123" s="256">
        <f>C123*'Inv Totales'!$C$24</f>
        <v>216527.62300000002</v>
      </c>
      <c r="F123" s="242" t="s">
        <v>6</v>
      </c>
    </row>
    <row r="124" spans="2:17" s="253" customFormat="1" x14ac:dyDescent="0.25">
      <c r="B124" s="242" t="s">
        <v>231</v>
      </c>
      <c r="C124" s="271">
        <v>0.01</v>
      </c>
      <c r="E124" s="256">
        <f>C124*'Inv Totales'!$C$24</f>
        <v>166559.71</v>
      </c>
      <c r="F124" s="242" t="s">
        <v>6</v>
      </c>
    </row>
    <row r="125" spans="2:17" s="253" customFormat="1" x14ac:dyDescent="0.25">
      <c r="B125" s="242" t="s">
        <v>232</v>
      </c>
      <c r="C125" s="271">
        <v>3.0000000000000001E-3</v>
      </c>
      <c r="E125" s="256">
        <f>C125*'Inv Totales'!$C$24</f>
        <v>49967.913</v>
      </c>
      <c r="F125" s="242" t="s">
        <v>6</v>
      </c>
    </row>
    <row r="126" spans="2:17" s="253" customFormat="1" x14ac:dyDescent="0.25">
      <c r="B126" s="242" t="s">
        <v>233</v>
      </c>
      <c r="C126" s="271">
        <v>0.01</v>
      </c>
      <c r="E126" s="256">
        <f>C126*'Inv Totales'!$C$24</f>
        <v>166559.71</v>
      </c>
      <c r="F126" s="242" t="s">
        <v>6</v>
      </c>
    </row>
    <row r="127" spans="2:17" s="253" customFormat="1" x14ac:dyDescent="0.25">
      <c r="B127" s="242" t="s">
        <v>234</v>
      </c>
      <c r="C127" s="271">
        <v>0.01</v>
      </c>
      <c r="E127" s="256">
        <f>C127*'Inv Totales'!$C$24</f>
        <v>166559.71</v>
      </c>
      <c r="F127" s="242" t="s">
        <v>6</v>
      </c>
    </row>
    <row r="128" spans="2:17" s="253" customFormat="1" x14ac:dyDescent="0.25">
      <c r="B128" s="242" t="s">
        <v>235</v>
      </c>
      <c r="C128" s="271">
        <v>1.4999999999999999E-2</v>
      </c>
      <c r="E128" s="256">
        <f>C128*'Inv Totales'!$C$24</f>
        <v>249839.565</v>
      </c>
      <c r="F128" s="242" t="s">
        <v>6</v>
      </c>
    </row>
    <row r="129" spans="1:9" s="253" customFormat="1" x14ac:dyDescent="0.25">
      <c r="B129" s="242" t="s">
        <v>236</v>
      </c>
      <c r="C129" s="271">
        <v>4.0000000000000001E-3</v>
      </c>
      <c r="E129" s="256">
        <f>C129*'Inv Totales'!$C$24</f>
        <v>66623.884000000005</v>
      </c>
      <c r="F129" s="242" t="s">
        <v>6</v>
      </c>
    </row>
    <row r="130" spans="1:9" s="253" customFormat="1" x14ac:dyDescent="0.25">
      <c r="B130" s="242" t="s">
        <v>237</v>
      </c>
      <c r="C130" s="271">
        <v>2E-3</v>
      </c>
      <c r="E130" s="256">
        <f>C130*'Inv Totales'!$C$24</f>
        <v>33311.942000000003</v>
      </c>
      <c r="F130" s="242" t="s">
        <v>6</v>
      </c>
    </row>
    <row r="131" spans="1:9" s="253" customFormat="1" x14ac:dyDescent="0.25">
      <c r="B131" s="242" t="s">
        <v>238</v>
      </c>
      <c r="C131" s="271">
        <v>5.0000000000000001E-3</v>
      </c>
      <c r="E131" s="256">
        <f>C131*'Inv Totales'!$C$24</f>
        <v>83279.854999999996</v>
      </c>
      <c r="F131" s="242" t="s">
        <v>6</v>
      </c>
    </row>
    <row r="132" spans="1:9" s="253" customFormat="1" x14ac:dyDescent="0.25">
      <c r="B132" s="242" t="s">
        <v>239</v>
      </c>
      <c r="C132" s="271">
        <v>1.4999999999999999E-2</v>
      </c>
      <c r="E132" s="256">
        <f>C132*'Inv Totales'!$C$24</f>
        <v>249839.565</v>
      </c>
      <c r="F132" s="242" t="s">
        <v>6</v>
      </c>
    </row>
    <row r="133" spans="1:9" s="253" customFormat="1" x14ac:dyDescent="0.25">
      <c r="B133" s="242" t="s">
        <v>240</v>
      </c>
      <c r="C133" s="271">
        <v>5.0000000000000001E-3</v>
      </c>
      <c r="E133" s="256">
        <f>C133*'Inv Totales'!$C$24</f>
        <v>83279.854999999996</v>
      </c>
      <c r="F133" s="242" t="s">
        <v>6</v>
      </c>
    </row>
    <row r="134" spans="1:9" s="253" customFormat="1" x14ac:dyDescent="0.25">
      <c r="B134" s="242" t="s">
        <v>241</v>
      </c>
      <c r="C134" s="271">
        <v>4.0000000000000001E-3</v>
      </c>
      <c r="E134" s="256">
        <f>C134*'Inv Totales'!$C$24</f>
        <v>66623.884000000005</v>
      </c>
      <c r="F134" s="242" t="s">
        <v>6</v>
      </c>
    </row>
    <row r="135" spans="1:9" s="253" customFormat="1" x14ac:dyDescent="0.25">
      <c r="C135" s="272">
        <f>SUM(C118:C134)</f>
        <v>0.17500000000000004</v>
      </c>
      <c r="D135" s="273"/>
      <c r="E135" s="259">
        <f>SUM(E118:E134)</f>
        <v>2914794.9249999998</v>
      </c>
      <c r="F135" s="264" t="s">
        <v>6</v>
      </c>
    </row>
    <row r="136" spans="1:9" s="61" customFormat="1" ht="15.75" thickBot="1" x14ac:dyDescent="0.3"/>
    <row r="138" spans="1:9" x14ac:dyDescent="0.25">
      <c r="A138" s="56" t="s">
        <v>293</v>
      </c>
      <c r="B138" s="56"/>
    </row>
    <row r="139" spans="1:9" s="253" customFormat="1" x14ac:dyDescent="0.25"/>
    <row r="140" spans="1:9" s="253" customFormat="1" x14ac:dyDescent="0.25">
      <c r="D140" s="242" t="s">
        <v>347</v>
      </c>
      <c r="E140" s="242"/>
      <c r="F140" s="253" t="s">
        <v>6</v>
      </c>
      <c r="G140" s="253" t="s">
        <v>643</v>
      </c>
      <c r="I140" s="257"/>
    </row>
    <row r="141" spans="1:9" s="253" customFormat="1" x14ac:dyDescent="0.25">
      <c r="D141" s="242" t="s">
        <v>34</v>
      </c>
      <c r="E141" s="242"/>
      <c r="F141" s="253" t="s">
        <v>6</v>
      </c>
      <c r="G141" s="253" t="s">
        <v>643</v>
      </c>
      <c r="I141" s="257"/>
    </row>
    <row r="142" spans="1:9" s="253" customFormat="1" x14ac:dyDescent="0.25">
      <c r="D142" s="242" t="s">
        <v>348</v>
      </c>
      <c r="E142" s="242"/>
      <c r="F142" s="253" t="s">
        <v>6</v>
      </c>
      <c r="G142" s="253" t="s">
        <v>643</v>
      </c>
      <c r="I142" s="257"/>
    </row>
    <row r="143" spans="1:9" s="253" customFormat="1" x14ac:dyDescent="0.25">
      <c r="D143" s="242" t="s">
        <v>237</v>
      </c>
      <c r="E143" s="242"/>
      <c r="F143" s="253" t="s">
        <v>6</v>
      </c>
      <c r="G143" s="253" t="s">
        <v>643</v>
      </c>
      <c r="I143" s="257"/>
    </row>
    <row r="144" spans="1:9" s="253" customFormat="1" x14ac:dyDescent="0.25">
      <c r="D144" s="242" t="s">
        <v>349</v>
      </c>
      <c r="E144" s="242"/>
      <c r="F144" s="253" t="s">
        <v>6</v>
      </c>
      <c r="G144" s="253" t="s">
        <v>643</v>
      </c>
      <c r="I144" s="257"/>
    </row>
    <row r="145" spans="1:7" s="264" customFormat="1" x14ac:dyDescent="0.25">
      <c r="D145" s="264" t="s">
        <v>169</v>
      </c>
      <c r="E145" s="264">
        <f>SUM(E140:E144)</f>
        <v>0</v>
      </c>
      <c r="F145" s="264" t="s">
        <v>6</v>
      </c>
    </row>
    <row r="146" spans="1:7" s="264" customFormat="1" x14ac:dyDescent="0.25"/>
    <row r="147" spans="1:7" s="264" customFormat="1" x14ac:dyDescent="0.25">
      <c r="D147" s="266" t="s">
        <v>342</v>
      </c>
      <c r="E147" s="267">
        <v>20000</v>
      </c>
      <c r="F147" s="267" t="s">
        <v>6</v>
      </c>
    </row>
    <row r="148" spans="1:7" s="64" customFormat="1" ht="15.75" thickBot="1" x14ac:dyDescent="0.3"/>
    <row r="149" spans="1:7" s="4" customFormat="1" x14ac:dyDescent="0.25"/>
    <row r="150" spans="1:7" x14ac:dyDescent="0.25">
      <c r="A150" s="56" t="s">
        <v>301</v>
      </c>
      <c r="B150" s="56"/>
      <c r="C150" s="56"/>
    </row>
    <row r="151" spans="1:7" s="253" customFormat="1" x14ac:dyDescent="0.25"/>
    <row r="152" spans="1:7" s="253" customFormat="1" x14ac:dyDescent="0.25">
      <c r="D152" s="242" t="s">
        <v>201</v>
      </c>
      <c r="E152" s="242"/>
      <c r="F152" s="253" t="s">
        <v>6</v>
      </c>
      <c r="G152" s="253" t="s">
        <v>643</v>
      </c>
    </row>
    <row r="153" spans="1:7" s="253" customFormat="1" x14ac:dyDescent="0.25">
      <c r="D153" s="242" t="s">
        <v>202</v>
      </c>
      <c r="E153" s="242"/>
      <c r="F153" s="253" t="s">
        <v>6</v>
      </c>
      <c r="G153" s="253" t="s">
        <v>643</v>
      </c>
    </row>
    <row r="154" spans="1:7" s="253" customFormat="1" x14ac:dyDescent="0.25">
      <c r="D154" s="242" t="s">
        <v>350</v>
      </c>
      <c r="E154" s="242"/>
      <c r="F154" s="253" t="s">
        <v>6</v>
      </c>
      <c r="G154" s="253" t="s">
        <v>643</v>
      </c>
    </row>
    <row r="155" spans="1:7" s="253" customFormat="1" x14ac:dyDescent="0.25">
      <c r="D155" s="242" t="s">
        <v>356</v>
      </c>
      <c r="E155" s="242"/>
      <c r="F155" s="253" t="s">
        <v>6</v>
      </c>
      <c r="G155" s="253" t="s">
        <v>643</v>
      </c>
    </row>
    <row r="156" spans="1:7" s="253" customFormat="1" x14ac:dyDescent="0.25">
      <c r="D156" s="242" t="s">
        <v>294</v>
      </c>
      <c r="E156" s="242"/>
      <c r="F156" s="253" t="s">
        <v>6</v>
      </c>
      <c r="G156" s="253" t="s">
        <v>643</v>
      </c>
    </row>
    <row r="157" spans="1:7" s="253" customFormat="1" x14ac:dyDescent="0.25">
      <c r="D157" s="264" t="s">
        <v>169</v>
      </c>
      <c r="E157" s="264">
        <f>SUM(E152:E156)</f>
        <v>0</v>
      </c>
      <c r="F157" s="264" t="s">
        <v>6</v>
      </c>
    </row>
    <row r="158" spans="1:7" s="253" customFormat="1" x14ac:dyDescent="0.25"/>
    <row r="159" spans="1:7" s="253" customFormat="1" x14ac:dyDescent="0.25">
      <c r="D159" s="266" t="s">
        <v>342</v>
      </c>
      <c r="E159" s="267">
        <v>100000</v>
      </c>
      <c r="F159" s="267" t="s">
        <v>6</v>
      </c>
    </row>
    <row r="160" spans="1:7" s="61" customFormat="1" ht="15.75" thickBot="1" x14ac:dyDescent="0.3"/>
    <row r="162" spans="1:7" x14ac:dyDescent="0.25">
      <c r="A162" s="56" t="s">
        <v>173</v>
      </c>
    </row>
    <row r="163" spans="1:7" s="253" customFormat="1" x14ac:dyDescent="0.25"/>
    <row r="164" spans="1:7" s="253" customFormat="1" x14ac:dyDescent="0.25">
      <c r="D164" s="242" t="s">
        <v>173</v>
      </c>
      <c r="E164" s="242"/>
      <c r="F164" s="253" t="s">
        <v>6</v>
      </c>
      <c r="G164" s="253" t="s">
        <v>643</v>
      </c>
    </row>
    <row r="165" spans="1:7" s="253" customFormat="1" x14ac:dyDescent="0.25">
      <c r="D165" s="264" t="s">
        <v>169</v>
      </c>
      <c r="E165" s="264">
        <f>SUM(E164)</f>
        <v>0</v>
      </c>
      <c r="F165" s="264" t="s">
        <v>6</v>
      </c>
    </row>
    <row r="166" spans="1:7" s="253" customFormat="1" x14ac:dyDescent="0.25"/>
    <row r="167" spans="1:7" s="253" customFormat="1" x14ac:dyDescent="0.25">
      <c r="D167" s="266" t="s">
        <v>342</v>
      </c>
      <c r="E167" s="267">
        <v>50000</v>
      </c>
      <c r="F167" s="267" t="s">
        <v>6</v>
      </c>
    </row>
    <row r="168" spans="1:7" s="61" customFormat="1" ht="15.75" thickBot="1" x14ac:dyDescent="0.3"/>
    <row r="170" spans="1:7" x14ac:dyDescent="0.25">
      <c r="A170" s="56" t="s">
        <v>295</v>
      </c>
    </row>
    <row r="171" spans="1:7" s="253" customFormat="1" x14ac:dyDescent="0.25"/>
    <row r="172" spans="1:7" s="253" customFormat="1" x14ac:dyDescent="0.25">
      <c r="D172" s="242" t="s">
        <v>351</v>
      </c>
      <c r="E172" s="242"/>
      <c r="F172" s="253" t="s">
        <v>6</v>
      </c>
      <c r="G172" s="253" t="s">
        <v>643</v>
      </c>
    </row>
    <row r="173" spans="1:7" s="253" customFormat="1" x14ac:dyDescent="0.25">
      <c r="D173" s="242" t="s">
        <v>352</v>
      </c>
      <c r="E173" s="242"/>
      <c r="F173" s="253" t="s">
        <v>6</v>
      </c>
      <c r="G173" s="253" t="s">
        <v>643</v>
      </c>
    </row>
    <row r="174" spans="1:7" s="253" customFormat="1" x14ac:dyDescent="0.25">
      <c r="D174" s="242" t="s">
        <v>353</v>
      </c>
      <c r="E174" s="242"/>
      <c r="F174" s="253" t="s">
        <v>6</v>
      </c>
      <c r="G174" s="253" t="s">
        <v>643</v>
      </c>
    </row>
    <row r="175" spans="1:7" s="253" customFormat="1" x14ac:dyDescent="0.25">
      <c r="D175" s="242" t="s">
        <v>354</v>
      </c>
      <c r="E175" s="242"/>
      <c r="F175" s="253" t="s">
        <v>6</v>
      </c>
      <c r="G175" s="253" t="s">
        <v>643</v>
      </c>
    </row>
    <row r="176" spans="1:7" s="253" customFormat="1" x14ac:dyDescent="0.25">
      <c r="D176" s="242" t="s">
        <v>355</v>
      </c>
      <c r="E176" s="242"/>
      <c r="F176" s="253" t="s">
        <v>6</v>
      </c>
      <c r="G176" s="253" t="s">
        <v>643</v>
      </c>
    </row>
    <row r="177" spans="1:7" s="253" customFormat="1" x14ac:dyDescent="0.25">
      <c r="D177" s="264" t="s">
        <v>169</v>
      </c>
      <c r="E177" s="264">
        <f>SUM(E172:E176)</f>
        <v>0</v>
      </c>
      <c r="F177" s="264" t="s">
        <v>6</v>
      </c>
    </row>
    <row r="178" spans="1:7" s="253" customFormat="1" x14ac:dyDescent="0.25"/>
    <row r="179" spans="1:7" s="253" customFormat="1" x14ac:dyDescent="0.25">
      <c r="D179" s="266" t="s">
        <v>342</v>
      </c>
      <c r="E179" s="267">
        <v>150000</v>
      </c>
      <c r="F179" s="267" t="s">
        <v>6</v>
      </c>
    </row>
    <row r="180" spans="1:7" s="61" customFormat="1" ht="15.75" thickBot="1" x14ac:dyDescent="0.3">
      <c r="A180" s="64"/>
    </row>
    <row r="182" spans="1:7" x14ac:dyDescent="0.25">
      <c r="A182" s="56" t="s">
        <v>296</v>
      </c>
      <c r="B182" s="56"/>
    </row>
    <row r="183" spans="1:7" s="253" customFormat="1" x14ac:dyDescent="0.25"/>
    <row r="184" spans="1:7" s="253" customFormat="1" x14ac:dyDescent="0.25">
      <c r="D184" s="242" t="s">
        <v>362</v>
      </c>
      <c r="E184" s="242"/>
      <c r="F184" s="253" t="s">
        <v>6</v>
      </c>
      <c r="G184" s="253" t="s">
        <v>643</v>
      </c>
    </row>
    <row r="185" spans="1:7" s="253" customFormat="1" x14ac:dyDescent="0.25">
      <c r="D185" s="242" t="s">
        <v>357</v>
      </c>
      <c r="E185" s="242"/>
      <c r="F185" s="253" t="s">
        <v>6</v>
      </c>
      <c r="G185" s="253" t="s">
        <v>643</v>
      </c>
    </row>
    <row r="186" spans="1:7" s="253" customFormat="1" x14ac:dyDescent="0.25">
      <c r="D186" s="242" t="s">
        <v>358</v>
      </c>
      <c r="E186" s="242"/>
      <c r="F186" s="253" t="s">
        <v>6</v>
      </c>
      <c r="G186" s="253" t="s">
        <v>643</v>
      </c>
    </row>
    <row r="187" spans="1:7" s="253" customFormat="1" x14ac:dyDescent="0.25">
      <c r="D187" s="242" t="s">
        <v>359</v>
      </c>
      <c r="E187" s="242"/>
      <c r="F187" s="253" t="s">
        <v>6</v>
      </c>
      <c r="G187" s="253" t="s">
        <v>643</v>
      </c>
    </row>
    <row r="188" spans="1:7" s="253" customFormat="1" x14ac:dyDescent="0.25">
      <c r="D188" s="242" t="s">
        <v>360</v>
      </c>
      <c r="E188" s="242"/>
      <c r="F188" s="253" t="s">
        <v>6</v>
      </c>
      <c r="G188" s="253" t="s">
        <v>643</v>
      </c>
    </row>
    <row r="189" spans="1:7" s="253" customFormat="1" x14ac:dyDescent="0.25">
      <c r="D189" s="242" t="s">
        <v>361</v>
      </c>
      <c r="E189" s="242"/>
      <c r="F189" s="253" t="s">
        <v>6</v>
      </c>
      <c r="G189" s="253" t="s">
        <v>643</v>
      </c>
    </row>
    <row r="190" spans="1:7" s="253" customFormat="1" x14ac:dyDescent="0.25">
      <c r="D190" s="242" t="s">
        <v>294</v>
      </c>
      <c r="E190" s="242"/>
      <c r="F190" s="253" t="s">
        <v>6</v>
      </c>
      <c r="G190" s="253" t="s">
        <v>643</v>
      </c>
    </row>
    <row r="191" spans="1:7" s="253" customFormat="1" x14ac:dyDescent="0.25">
      <c r="D191" s="264" t="s">
        <v>169</v>
      </c>
      <c r="E191" s="264">
        <f>SUM(E184:E190)</f>
        <v>0</v>
      </c>
      <c r="F191" s="264" t="s">
        <v>6</v>
      </c>
    </row>
    <row r="192" spans="1:7" s="253" customFormat="1" x14ac:dyDescent="0.25"/>
    <row r="193" spans="4:6" s="253" customFormat="1" x14ac:dyDescent="0.25">
      <c r="D193" s="266" t="s">
        <v>342</v>
      </c>
      <c r="E193" s="267">
        <v>50000</v>
      </c>
      <c r="F193" s="267" t="s">
        <v>6</v>
      </c>
    </row>
    <row r="194" spans="4:6" s="61" customFormat="1" ht="15.75" thickBot="1" x14ac:dyDescent="0.3"/>
  </sheetData>
  <mergeCells count="2">
    <mergeCell ref="C69:D69"/>
    <mergeCell ref="C34:D34"/>
  </mergeCells>
  <phoneticPr fontId="7" type="noConversion"/>
  <pageMargins left="0.7" right="0.7" top="0.75" bottom="0.75" header="0.3" footer="0.3"/>
  <pageSetup orientation="portrait" horizontalDpi="300" verticalDpi="0" r:id="rId1"/>
  <ignoredErrors>
    <ignoredError sqref="E36 E73"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CC054-3296-44EC-8D81-FEB18B3BEFC8}">
  <dimension ref="A2:R97"/>
  <sheetViews>
    <sheetView topLeftCell="A70" workbookViewId="0">
      <selection activeCell="A72" sqref="A72"/>
    </sheetView>
  </sheetViews>
  <sheetFormatPr baseColWidth="10" defaultRowHeight="15" x14ac:dyDescent="0.25"/>
  <cols>
    <col min="2" max="2" width="20.28515625" customWidth="1"/>
    <col min="4" max="4" width="20.5703125" bestFit="1" customWidth="1"/>
  </cols>
  <sheetData>
    <row r="2" spans="1:12" x14ac:dyDescent="0.25">
      <c r="A2" s="56" t="s">
        <v>262</v>
      </c>
      <c r="B2" s="56"/>
    </row>
    <row r="3" spans="1:12" s="253" customFormat="1" x14ac:dyDescent="0.25"/>
    <row r="4" spans="1:12" s="253" customFormat="1" x14ac:dyDescent="0.25">
      <c r="A4" s="264"/>
      <c r="B4" s="253" t="s">
        <v>337</v>
      </c>
      <c r="C4" s="268">
        <v>0.3</v>
      </c>
      <c r="D4" s="253" t="s">
        <v>346</v>
      </c>
      <c r="E4" s="257">
        <f>C4*'Inv Equipos'!I51</f>
        <v>677338.5</v>
      </c>
      <c r="F4" s="253" t="s">
        <v>6</v>
      </c>
      <c r="G4" s="253" t="s">
        <v>363</v>
      </c>
      <c r="L4" s="253" t="s">
        <v>644</v>
      </c>
    </row>
    <row r="5" spans="1:12" s="253" customFormat="1" x14ac:dyDescent="0.25">
      <c r="A5" s="264"/>
      <c r="B5" s="253" t="s">
        <v>338</v>
      </c>
      <c r="C5" s="276">
        <v>0.08</v>
      </c>
      <c r="D5" s="253" t="s">
        <v>344</v>
      </c>
      <c r="E5" s="257">
        <f>C5*'Inv Totales'!C24</f>
        <v>1332477.68</v>
      </c>
      <c r="F5" s="253" t="s">
        <v>6</v>
      </c>
      <c r="G5" s="253" t="s">
        <v>364</v>
      </c>
      <c r="L5" s="253" t="s">
        <v>644</v>
      </c>
    </row>
    <row r="6" spans="1:12" s="253" customFormat="1" x14ac:dyDescent="0.25">
      <c r="A6" s="264"/>
      <c r="B6" s="253" t="s">
        <v>339</v>
      </c>
      <c r="C6" s="276"/>
      <c r="E6" s="256"/>
      <c r="F6" s="242"/>
      <c r="G6" s="253" t="s">
        <v>643</v>
      </c>
    </row>
    <row r="7" spans="1:12" s="253" customFormat="1" x14ac:dyDescent="0.25">
      <c r="A7" s="264"/>
    </row>
    <row r="8" spans="1:12" s="253" customFormat="1" x14ac:dyDescent="0.25">
      <c r="A8" s="264"/>
      <c r="D8" s="266" t="s">
        <v>342</v>
      </c>
      <c r="E8" s="267">
        <v>950000</v>
      </c>
      <c r="F8" s="267" t="s">
        <v>6</v>
      </c>
      <c r="I8" s="253" t="s">
        <v>660</v>
      </c>
    </row>
    <row r="9" spans="1:12" s="253" customFormat="1" x14ac:dyDescent="0.25">
      <c r="A9" s="253" t="s">
        <v>368</v>
      </c>
      <c r="I9" s="253" t="s">
        <v>661</v>
      </c>
    </row>
    <row r="10" spans="1:12" s="253" customFormat="1" x14ac:dyDescent="0.25">
      <c r="B10" s="253" t="s">
        <v>275</v>
      </c>
      <c r="E10" s="260">
        <v>0.1</v>
      </c>
      <c r="F10" s="257">
        <f>$E$8*E10</f>
        <v>95000</v>
      </c>
      <c r="G10" s="253" t="s">
        <v>6</v>
      </c>
    </row>
    <row r="11" spans="1:12" s="253" customFormat="1" x14ac:dyDescent="0.25">
      <c r="B11" s="253" t="s">
        <v>276</v>
      </c>
      <c r="E11" s="260">
        <v>0.3</v>
      </c>
      <c r="F11" s="257">
        <f t="shared" ref="F11:F12" si="0">$E$8*E11</f>
        <v>285000</v>
      </c>
      <c r="G11" s="253" t="s">
        <v>6</v>
      </c>
    </row>
    <row r="12" spans="1:12" s="253" customFormat="1" x14ac:dyDescent="0.25">
      <c r="B12" s="253" t="s">
        <v>277</v>
      </c>
      <c r="E12" s="260">
        <v>0.6</v>
      </c>
      <c r="F12" s="257">
        <f t="shared" si="0"/>
        <v>570000</v>
      </c>
      <c r="G12" s="253" t="s">
        <v>6</v>
      </c>
    </row>
    <row r="13" spans="1:12" s="61" customFormat="1" ht="15.75" thickBot="1" x14ac:dyDescent="0.3">
      <c r="A13" s="64"/>
    </row>
    <row r="14" spans="1:12" x14ac:dyDescent="0.25">
      <c r="D14" s="11"/>
    </row>
    <row r="15" spans="1:12" x14ac:dyDescent="0.25">
      <c r="A15" s="56" t="s">
        <v>273</v>
      </c>
      <c r="B15" s="56"/>
      <c r="D15" s="5"/>
    </row>
    <row r="16" spans="1:12" s="253" customFormat="1" x14ac:dyDescent="0.25">
      <c r="D16" s="257"/>
    </row>
    <row r="17" spans="1:12" s="253" customFormat="1" x14ac:dyDescent="0.25">
      <c r="B17" s="253" t="s">
        <v>337</v>
      </c>
      <c r="C17" s="274">
        <v>0.08</v>
      </c>
      <c r="D17" s="253" t="s">
        <v>344</v>
      </c>
      <c r="E17" s="257">
        <f>C17*'Inv Totales'!C24</f>
        <v>1332477.68</v>
      </c>
      <c r="F17" s="253" t="s">
        <v>6</v>
      </c>
      <c r="G17" s="253" t="s">
        <v>334</v>
      </c>
      <c r="L17" s="253" t="s">
        <v>644</v>
      </c>
    </row>
    <row r="18" spans="1:12" s="253" customFormat="1" x14ac:dyDescent="0.25">
      <c r="B18" s="253" t="s">
        <v>338</v>
      </c>
      <c r="C18" s="276"/>
      <c r="E18" s="256"/>
      <c r="F18" s="242"/>
      <c r="G18" s="253" t="s">
        <v>643</v>
      </c>
    </row>
    <row r="19" spans="1:12" s="253" customFormat="1" x14ac:dyDescent="0.25"/>
    <row r="20" spans="1:12" s="253" customFormat="1" x14ac:dyDescent="0.25">
      <c r="D20" s="266" t="s">
        <v>342</v>
      </c>
      <c r="E20" s="267">
        <v>1250000</v>
      </c>
      <c r="F20" s="267" t="s">
        <v>6</v>
      </c>
      <c r="I20" s="253" t="s">
        <v>662</v>
      </c>
    </row>
    <row r="21" spans="1:12" s="253" customFormat="1" x14ac:dyDescent="0.25">
      <c r="I21" s="253" t="s">
        <v>663</v>
      </c>
    </row>
    <row r="22" spans="1:12" s="61" customFormat="1" ht="15.75" thickBot="1" x14ac:dyDescent="0.3"/>
    <row r="23" spans="1:12" x14ac:dyDescent="0.25">
      <c r="A23" s="4"/>
    </row>
    <row r="24" spans="1:12" x14ac:dyDescent="0.25">
      <c r="A24" s="56" t="s">
        <v>274</v>
      </c>
      <c r="B24" s="56"/>
    </row>
    <row r="25" spans="1:12" s="253" customFormat="1" x14ac:dyDescent="0.25"/>
    <row r="26" spans="1:12" s="253" customFormat="1" x14ac:dyDescent="0.25">
      <c r="B26" s="253" t="s">
        <v>337</v>
      </c>
      <c r="C26" s="263">
        <v>0.08</v>
      </c>
      <c r="D26" s="253" t="s">
        <v>346</v>
      </c>
      <c r="E26" s="257">
        <f>C26*'Inv Totales'!C3</f>
        <v>879677.68</v>
      </c>
      <c r="F26" s="253" t="s">
        <v>6</v>
      </c>
      <c r="G26" s="253" t="s">
        <v>367</v>
      </c>
    </row>
    <row r="27" spans="1:12" s="253" customFormat="1" x14ac:dyDescent="0.25">
      <c r="B27" s="253" t="s">
        <v>338</v>
      </c>
      <c r="C27" s="263">
        <v>0.06</v>
      </c>
      <c r="D27" s="253" t="s">
        <v>344</v>
      </c>
      <c r="E27" s="257">
        <f>C27*'Inv Totales'!C24</f>
        <v>999358.26</v>
      </c>
      <c r="F27" s="253" t="s">
        <v>6</v>
      </c>
      <c r="G27" s="253" t="s">
        <v>366</v>
      </c>
    </row>
    <row r="28" spans="1:12" s="253" customFormat="1" x14ac:dyDescent="0.25">
      <c r="B28" s="253" t="s">
        <v>339</v>
      </c>
      <c r="C28" s="276"/>
      <c r="E28" s="256"/>
      <c r="F28" s="242"/>
      <c r="G28" s="253" t="s">
        <v>643</v>
      </c>
    </row>
    <row r="29" spans="1:12" s="253" customFormat="1" x14ac:dyDescent="0.25"/>
    <row r="30" spans="1:12" s="253" customFormat="1" x14ac:dyDescent="0.25">
      <c r="D30" s="266" t="s">
        <v>342</v>
      </c>
      <c r="E30" s="267">
        <v>900000</v>
      </c>
      <c r="F30" s="267" t="s">
        <v>6</v>
      </c>
    </row>
    <row r="31" spans="1:12" s="253" customFormat="1" x14ac:dyDescent="0.25">
      <c r="A31" s="253" t="s">
        <v>368</v>
      </c>
    </row>
    <row r="32" spans="1:12" s="253" customFormat="1" x14ac:dyDescent="0.25">
      <c r="B32" s="253" t="s">
        <v>278</v>
      </c>
    </row>
    <row r="33" spans="1:18" s="253" customFormat="1" x14ac:dyDescent="0.25">
      <c r="B33" s="253" t="s">
        <v>279</v>
      </c>
      <c r="F33" s="257"/>
    </row>
    <row r="34" spans="1:18" s="61" customFormat="1" ht="15.75" thickBot="1" x14ac:dyDescent="0.3">
      <c r="F34" s="62"/>
    </row>
    <row r="36" spans="1:18" x14ac:dyDescent="0.25">
      <c r="A36" s="56" t="s">
        <v>281</v>
      </c>
      <c r="B36" s="56"/>
      <c r="F36" s="5"/>
    </row>
    <row r="37" spans="1:18" s="253" customFormat="1" x14ac:dyDescent="0.25">
      <c r="F37" s="257"/>
    </row>
    <row r="38" spans="1:18" s="253" customFormat="1" x14ac:dyDescent="0.25">
      <c r="B38" s="253" t="s">
        <v>337</v>
      </c>
      <c r="C38" s="276">
        <v>0.03</v>
      </c>
      <c r="D38" s="253" t="s">
        <v>344</v>
      </c>
      <c r="E38" s="257">
        <f>C38*'Inv Totales'!C24</f>
        <v>499679.13</v>
      </c>
      <c r="F38" s="253" t="s">
        <v>6</v>
      </c>
      <c r="G38" s="253" t="s">
        <v>336</v>
      </c>
    </row>
    <row r="39" spans="1:18" s="253" customFormat="1" x14ac:dyDescent="0.25">
      <c r="B39" s="253" t="s">
        <v>338</v>
      </c>
      <c r="C39" s="254">
        <v>25</v>
      </c>
      <c r="D39" s="253" t="s">
        <v>664</v>
      </c>
      <c r="E39" s="257">
        <f>Costos!I59*Ingresos!D9*C39/365</f>
        <v>503447.99888550461</v>
      </c>
      <c r="F39" s="253" t="s">
        <v>6</v>
      </c>
      <c r="G39" s="253" t="s">
        <v>381</v>
      </c>
    </row>
    <row r="40" spans="1:18" s="253" customFormat="1" x14ac:dyDescent="0.25">
      <c r="B40" s="253" t="s">
        <v>339</v>
      </c>
      <c r="C40" s="276"/>
      <c r="E40" s="256"/>
      <c r="F40" s="242"/>
      <c r="G40" s="253" t="s">
        <v>643</v>
      </c>
    </row>
    <row r="41" spans="1:18" s="253" customFormat="1" x14ac:dyDescent="0.25"/>
    <row r="42" spans="1:18" s="253" customFormat="1" x14ac:dyDescent="0.25">
      <c r="D42" s="266" t="s">
        <v>342</v>
      </c>
      <c r="E42" s="267">
        <v>460000</v>
      </c>
      <c r="F42" s="267" t="s">
        <v>6</v>
      </c>
    </row>
    <row r="43" spans="1:18" s="61" customFormat="1" ht="15.75" thickBot="1" x14ac:dyDescent="0.3">
      <c r="F43" s="62"/>
    </row>
    <row r="44" spans="1:18" x14ac:dyDescent="0.25">
      <c r="D44" s="11"/>
    </row>
    <row r="45" spans="1:18" x14ac:dyDescent="0.25">
      <c r="A45" s="56" t="s">
        <v>657</v>
      </c>
      <c r="B45" s="56"/>
      <c r="D45" s="257" t="s">
        <v>659</v>
      </c>
    </row>
    <row r="46" spans="1:18" s="253" customFormat="1" x14ac:dyDescent="0.25">
      <c r="D46" s="257"/>
    </row>
    <row r="47" spans="1:18" s="253" customFormat="1" x14ac:dyDescent="0.25">
      <c r="B47" s="253" t="s">
        <v>337</v>
      </c>
      <c r="C47" s="276">
        <f>4.37*'Inv Totales'!C24^(-0.172)</f>
        <v>0.25024845479968022</v>
      </c>
      <c r="D47" s="253" t="s">
        <v>344</v>
      </c>
      <c r="E47" s="257">
        <f>C47*'Inv Totales'!C24</f>
        <v>4168131.0059382846</v>
      </c>
      <c r="F47" s="253" t="s">
        <v>6</v>
      </c>
      <c r="G47" s="253" t="s">
        <v>365</v>
      </c>
      <c r="R47" s="253" t="s">
        <v>658</v>
      </c>
    </row>
    <row r="48" spans="1:18" s="253" customFormat="1" x14ac:dyDescent="0.25">
      <c r="C48" s="276"/>
    </row>
    <row r="49" spans="1:10" s="253" customFormat="1" x14ac:dyDescent="0.25">
      <c r="D49" s="257"/>
      <c r="E49" s="257">
        <f>E8+E20+E30+E42</f>
        <v>3560000</v>
      </c>
      <c r="F49" s="253" t="s">
        <v>6</v>
      </c>
      <c r="G49" s="253" t="s">
        <v>657</v>
      </c>
    </row>
    <row r="50" spans="1:10" s="61" customFormat="1" ht="15.75" thickBot="1" x14ac:dyDescent="0.3">
      <c r="D50" s="62"/>
      <c r="E50" s="62"/>
    </row>
    <row r="52" spans="1:10" x14ac:dyDescent="0.25">
      <c r="A52" s="56" t="s">
        <v>263</v>
      </c>
      <c r="B52" s="56"/>
      <c r="F52" s="5"/>
    </row>
    <row r="53" spans="1:10" s="253" customFormat="1" x14ac:dyDescent="0.25">
      <c r="F53" s="257"/>
    </row>
    <row r="54" spans="1:10" s="253" customFormat="1" x14ac:dyDescent="0.25">
      <c r="B54" s="253" t="s">
        <v>337</v>
      </c>
      <c r="C54" s="274">
        <v>0.01</v>
      </c>
      <c r="D54" s="277" t="s">
        <v>344</v>
      </c>
      <c r="E54" s="257">
        <f>C54*'Inv Totales'!C24</f>
        <v>166559.71</v>
      </c>
      <c r="F54" s="253" t="s">
        <v>6</v>
      </c>
      <c r="G54" s="253" t="s">
        <v>333</v>
      </c>
    </row>
    <row r="55" spans="1:10" s="253" customFormat="1" x14ac:dyDescent="0.25">
      <c r="B55" s="253" t="s">
        <v>338</v>
      </c>
      <c r="C55" s="276"/>
      <c r="E55" s="256"/>
      <c r="F55" s="242"/>
      <c r="G55" s="253" t="s">
        <v>643</v>
      </c>
    </row>
    <row r="56" spans="1:10" s="253" customFormat="1" x14ac:dyDescent="0.25">
      <c r="F56" s="257"/>
    </row>
    <row r="57" spans="1:10" s="253" customFormat="1" x14ac:dyDescent="0.25">
      <c r="D57" s="266" t="s">
        <v>342</v>
      </c>
      <c r="E57" s="267">
        <v>200000</v>
      </c>
      <c r="F57" s="267" t="s">
        <v>6</v>
      </c>
    </row>
    <row r="58" spans="1:10" s="253" customFormat="1" x14ac:dyDescent="0.25">
      <c r="A58" s="253" t="s">
        <v>368</v>
      </c>
      <c r="F58" s="257"/>
    </row>
    <row r="59" spans="1:10" s="253" customFormat="1" x14ac:dyDescent="0.25">
      <c r="B59" s="242" t="s">
        <v>283</v>
      </c>
      <c r="C59" s="242"/>
      <c r="D59" s="256"/>
      <c r="E59" s="242"/>
      <c r="F59" s="242"/>
      <c r="G59" s="242"/>
      <c r="H59" s="260">
        <v>0.2</v>
      </c>
      <c r="I59" s="257">
        <f>$E$57*H59</f>
        <v>40000</v>
      </c>
      <c r="J59" s="253" t="s">
        <v>6</v>
      </c>
    </row>
    <row r="60" spans="1:10" s="253" customFormat="1" x14ac:dyDescent="0.25">
      <c r="B60" s="242" t="s">
        <v>178</v>
      </c>
      <c r="C60" s="242"/>
      <c r="D60" s="256"/>
      <c r="E60" s="242"/>
      <c r="F60" s="242"/>
      <c r="G60" s="242"/>
      <c r="H60" s="260">
        <v>0.4</v>
      </c>
      <c r="I60" s="257">
        <f>$E$57*H60</f>
        <v>80000</v>
      </c>
      <c r="J60" s="253" t="s">
        <v>6</v>
      </c>
    </row>
    <row r="61" spans="1:10" s="253" customFormat="1" x14ac:dyDescent="0.25">
      <c r="B61" s="242" t="s">
        <v>284</v>
      </c>
      <c r="C61" s="242"/>
      <c r="D61" s="256"/>
      <c r="E61" s="242"/>
      <c r="F61" s="242"/>
      <c r="G61" s="242"/>
      <c r="H61" s="260">
        <v>0.1</v>
      </c>
      <c r="I61" s="257">
        <f>$E$57*H61</f>
        <v>20000</v>
      </c>
      <c r="J61" s="253" t="s">
        <v>6</v>
      </c>
    </row>
    <row r="62" spans="1:10" s="253" customFormat="1" x14ac:dyDescent="0.25">
      <c r="B62" s="242" t="s">
        <v>285</v>
      </c>
      <c r="C62" s="242"/>
      <c r="D62" s="256"/>
      <c r="E62" s="242"/>
      <c r="F62" s="242"/>
      <c r="G62" s="242"/>
      <c r="H62" s="260">
        <v>0.3</v>
      </c>
      <c r="I62" s="257">
        <f>$E$57*H62</f>
        <v>60000</v>
      </c>
      <c r="J62" s="253" t="s">
        <v>6</v>
      </c>
    </row>
    <row r="63" spans="1:10" s="61" customFormat="1" ht="15.75" thickBot="1" x14ac:dyDescent="0.3"/>
    <row r="64" spans="1:10" x14ac:dyDescent="0.25">
      <c r="J64" s="5"/>
    </row>
    <row r="65" spans="1:7" x14ac:dyDescent="0.25">
      <c r="A65" s="56" t="s">
        <v>280</v>
      </c>
      <c r="B65" s="56"/>
    </row>
    <row r="66" spans="1:7" s="253" customFormat="1" x14ac:dyDescent="0.25"/>
    <row r="67" spans="1:7" s="253" customFormat="1" x14ac:dyDescent="0.25">
      <c r="B67" s="253" t="s">
        <v>337</v>
      </c>
      <c r="C67" s="276"/>
      <c r="E67" s="256"/>
      <c r="F67" s="242"/>
      <c r="G67" s="253" t="s">
        <v>643</v>
      </c>
    </row>
    <row r="68" spans="1:7" s="253" customFormat="1" x14ac:dyDescent="0.25">
      <c r="D68" s="264"/>
      <c r="E68" s="264"/>
      <c r="F68" s="264"/>
    </row>
    <row r="69" spans="1:7" s="253" customFormat="1" x14ac:dyDescent="0.25">
      <c r="D69" s="266" t="s">
        <v>342</v>
      </c>
      <c r="E69" s="267">
        <v>100000</v>
      </c>
      <c r="F69" s="267" t="s">
        <v>6</v>
      </c>
    </row>
    <row r="70" spans="1:7" s="278" customFormat="1" ht="15.75" thickBot="1" x14ac:dyDescent="0.3">
      <c r="D70" s="279"/>
    </row>
    <row r="71" spans="1:7" x14ac:dyDescent="0.25">
      <c r="D71" s="5"/>
    </row>
    <row r="72" spans="1:7" x14ac:dyDescent="0.25">
      <c r="A72" s="56" t="s">
        <v>282</v>
      </c>
      <c r="B72" s="56"/>
    </row>
    <row r="73" spans="1:7" s="253" customFormat="1" x14ac:dyDescent="0.25"/>
    <row r="74" spans="1:7" s="253" customFormat="1" x14ac:dyDescent="0.25">
      <c r="B74" s="253" t="s">
        <v>337</v>
      </c>
      <c r="C74" s="276"/>
      <c r="E74" s="256"/>
      <c r="F74" s="242"/>
      <c r="G74" s="253" t="s">
        <v>643</v>
      </c>
    </row>
    <row r="75" spans="1:7" s="253" customFormat="1" x14ac:dyDescent="0.25">
      <c r="D75" s="264"/>
      <c r="E75" s="264"/>
      <c r="F75" s="264"/>
    </row>
    <row r="76" spans="1:7" s="253" customFormat="1" x14ac:dyDescent="0.25">
      <c r="D76" s="266" t="s">
        <v>342</v>
      </c>
      <c r="E76" s="267">
        <v>200000</v>
      </c>
      <c r="F76" s="267" t="s">
        <v>6</v>
      </c>
    </row>
    <row r="77" spans="1:7" s="61" customFormat="1" ht="15.75" thickBot="1" x14ac:dyDescent="0.3"/>
    <row r="78" spans="1:7" x14ac:dyDescent="0.25">
      <c r="A78" s="4"/>
    </row>
    <row r="79" spans="1:7" x14ac:dyDescent="0.25">
      <c r="A79" s="56" t="s">
        <v>286</v>
      </c>
      <c r="B79" s="56"/>
    </row>
    <row r="80" spans="1:7" s="253" customFormat="1" x14ac:dyDescent="0.25"/>
    <row r="81" spans="1:7" s="253" customFormat="1" x14ac:dyDescent="0.25">
      <c r="B81" s="253" t="s">
        <v>337</v>
      </c>
      <c r="C81" s="276"/>
      <c r="E81" s="256"/>
      <c r="F81" s="242"/>
      <c r="G81" s="253" t="s">
        <v>643</v>
      </c>
    </row>
    <row r="82" spans="1:7" s="253" customFormat="1" x14ac:dyDescent="0.25">
      <c r="D82" s="264"/>
      <c r="E82" s="264"/>
      <c r="F82" s="264"/>
    </row>
    <row r="83" spans="1:7" s="253" customFormat="1" x14ac:dyDescent="0.25">
      <c r="D83" s="266" t="s">
        <v>342</v>
      </c>
      <c r="E83" s="267">
        <v>100000</v>
      </c>
      <c r="F83" s="267" t="s">
        <v>6</v>
      </c>
    </row>
    <row r="84" spans="1:7" s="61" customFormat="1" ht="15.75" thickBot="1" x14ac:dyDescent="0.3">
      <c r="A84" s="64"/>
    </row>
    <row r="85" spans="1:7" x14ac:dyDescent="0.25">
      <c r="D85" s="5"/>
    </row>
    <row r="86" spans="1:7" x14ac:dyDescent="0.25">
      <c r="A86" s="56" t="s">
        <v>264</v>
      </c>
      <c r="B86" s="56"/>
    </row>
    <row r="87" spans="1:7" s="253" customFormat="1" x14ac:dyDescent="0.25"/>
    <row r="88" spans="1:7" s="253" customFormat="1" x14ac:dyDescent="0.25">
      <c r="B88" s="253" t="s">
        <v>337</v>
      </c>
      <c r="C88" s="274">
        <v>0.09</v>
      </c>
      <c r="D88" s="253" t="s">
        <v>344</v>
      </c>
      <c r="E88" s="257">
        <f>C88*'Inv Totales'!C24</f>
        <v>1499037.39</v>
      </c>
      <c r="F88" s="253" t="s">
        <v>6</v>
      </c>
      <c r="G88" s="253" t="s">
        <v>335</v>
      </c>
    </row>
    <row r="89" spans="1:7" s="253" customFormat="1" x14ac:dyDescent="0.25"/>
    <row r="90" spans="1:7" s="253" customFormat="1" x14ac:dyDescent="0.25">
      <c r="D90" s="266" t="s">
        <v>342</v>
      </c>
      <c r="E90" s="267">
        <v>1500000</v>
      </c>
      <c r="F90" s="267" t="s">
        <v>6</v>
      </c>
    </row>
    <row r="91" spans="1:7" s="61" customFormat="1" ht="15.75" thickBot="1" x14ac:dyDescent="0.3"/>
    <row r="96" spans="1:7" x14ac:dyDescent="0.25">
      <c r="D96" s="11"/>
    </row>
    <row r="97" spans="4:4" x14ac:dyDescent="0.25">
      <c r="D97" s="5"/>
    </row>
  </sheetData>
  <phoneticPr fontId="7" type="noConversion"/>
  <pageMargins left="0.7" right="0.7" top="0.75" bottom="0.75" header="0.3" footer="0.3"/>
  <pageSetup orientation="portrait" horizont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82653-7504-4A01-9CD5-E7FBE3611214}">
  <dimension ref="A2:N57"/>
  <sheetViews>
    <sheetView topLeftCell="A43" workbookViewId="0">
      <selection activeCell="E57" sqref="E57"/>
    </sheetView>
  </sheetViews>
  <sheetFormatPr baseColWidth="10" defaultRowHeight="15" x14ac:dyDescent="0.25"/>
  <cols>
    <col min="2" max="2" width="12" bestFit="1" customWidth="1"/>
    <col min="3" max="3" width="5.140625" bestFit="1" customWidth="1"/>
    <col min="4" max="4" width="20.42578125" bestFit="1" customWidth="1"/>
    <col min="5" max="5" width="9.140625" bestFit="1" customWidth="1"/>
    <col min="6" max="6" width="4.42578125" bestFit="1" customWidth="1"/>
  </cols>
  <sheetData>
    <row r="2" spans="1:7" s="4" customFormat="1" x14ac:dyDescent="0.25">
      <c r="A2" s="56" t="s">
        <v>287</v>
      </c>
      <c r="B2" s="56"/>
      <c r="E2" s="5"/>
      <c r="F2"/>
    </row>
    <row r="3" spans="1:7" s="264" customFormat="1" x14ac:dyDescent="0.25">
      <c r="E3" s="257"/>
      <c r="F3" s="253"/>
    </row>
    <row r="4" spans="1:7" s="264" customFormat="1" x14ac:dyDescent="0.25">
      <c r="B4" s="253" t="s">
        <v>337</v>
      </c>
      <c r="C4" s="268"/>
      <c r="D4" s="253"/>
      <c r="E4" s="257">
        <f>RRHH!R27/12</f>
        <v>144327.75</v>
      </c>
      <c r="F4" s="253" t="s">
        <v>6</v>
      </c>
      <c r="G4" s="253" t="s">
        <v>665</v>
      </c>
    </row>
    <row r="5" spans="1:7" s="264" customFormat="1" x14ac:dyDescent="0.25">
      <c r="B5" s="253" t="s">
        <v>338</v>
      </c>
      <c r="C5" s="268"/>
      <c r="D5" s="253"/>
      <c r="E5" s="257">
        <f>Costos!G59/52</f>
        <v>141352.70737939168</v>
      </c>
      <c r="F5" s="253" t="s">
        <v>6</v>
      </c>
      <c r="G5" s="253" t="s">
        <v>383</v>
      </c>
    </row>
    <row r="6" spans="1:7" s="264" customFormat="1" x14ac:dyDescent="0.25">
      <c r="B6" s="253"/>
      <c r="C6" s="253"/>
      <c r="D6" s="253"/>
      <c r="E6" s="253"/>
      <c r="F6" s="253"/>
    </row>
    <row r="7" spans="1:7" s="264" customFormat="1" x14ac:dyDescent="0.25">
      <c r="B7" s="253"/>
      <c r="C7" s="253"/>
      <c r="D7" s="266" t="s">
        <v>342</v>
      </c>
      <c r="E7" s="267">
        <v>135000</v>
      </c>
      <c r="F7" s="267" t="s">
        <v>6</v>
      </c>
    </row>
    <row r="8" spans="1:7" s="64" customFormat="1" ht="15.75" thickBot="1" x14ac:dyDescent="0.3">
      <c r="B8" s="61"/>
      <c r="C8" s="61"/>
      <c r="D8" s="61"/>
      <c r="E8" s="61"/>
      <c r="F8" s="61"/>
    </row>
    <row r="9" spans="1:7" s="4" customFormat="1" x14ac:dyDescent="0.25">
      <c r="B9"/>
      <c r="C9"/>
      <c r="D9"/>
      <c r="E9"/>
      <c r="F9"/>
    </row>
    <row r="10" spans="1:7" s="4" customFormat="1" x14ac:dyDescent="0.25">
      <c r="A10" s="56" t="s">
        <v>288</v>
      </c>
      <c r="B10" s="56"/>
      <c r="C10" s="56"/>
      <c r="D10"/>
      <c r="E10"/>
      <c r="F10"/>
    </row>
    <row r="11" spans="1:7" s="264" customFormat="1" x14ac:dyDescent="0.25">
      <c r="D11" s="270" t="s">
        <v>666</v>
      </c>
      <c r="E11" s="253"/>
      <c r="F11" s="253"/>
    </row>
    <row r="12" spans="1:7" s="264" customFormat="1" x14ac:dyDescent="0.25">
      <c r="B12" s="253" t="s">
        <v>337</v>
      </c>
      <c r="C12" s="268"/>
      <c r="D12" s="254">
        <v>3</v>
      </c>
      <c r="E12" s="257">
        <f>'MP EE Ins'!P17/52*D12</f>
        <v>76852.034239184504</v>
      </c>
      <c r="F12" s="253" t="s">
        <v>6</v>
      </c>
      <c r="G12" s="253" t="s">
        <v>384</v>
      </c>
    </row>
    <row r="13" spans="1:7" s="264" customFormat="1" x14ac:dyDescent="0.25">
      <c r="B13" s="253"/>
      <c r="C13" s="253"/>
      <c r="D13" s="253"/>
      <c r="E13" s="253"/>
      <c r="F13" s="253"/>
    </row>
    <row r="14" spans="1:7" s="264" customFormat="1" x14ac:dyDescent="0.25">
      <c r="B14" s="253"/>
      <c r="C14" s="253"/>
      <c r="D14" s="266" t="s">
        <v>342</v>
      </c>
      <c r="E14" s="267">
        <v>80000</v>
      </c>
      <c r="F14" s="267" t="s">
        <v>6</v>
      </c>
    </row>
    <row r="15" spans="1:7" s="64" customFormat="1" ht="15.75" thickBot="1" x14ac:dyDescent="0.3">
      <c r="B15" s="61"/>
      <c r="C15" s="61"/>
      <c r="D15" s="61"/>
      <c r="E15" s="61"/>
      <c r="F15" s="61"/>
    </row>
    <row r="16" spans="1:7" s="4" customFormat="1" x14ac:dyDescent="0.25">
      <c r="B16"/>
      <c r="C16"/>
      <c r="D16"/>
      <c r="E16"/>
      <c r="F16"/>
    </row>
    <row r="17" spans="1:14" s="4" customFormat="1" x14ac:dyDescent="0.25">
      <c r="A17" s="56" t="s">
        <v>289</v>
      </c>
      <c r="B17" s="56"/>
      <c r="C17" s="56"/>
      <c r="D17" s="56"/>
      <c r="E17"/>
      <c r="F17"/>
    </row>
    <row r="18" spans="1:14" s="264" customFormat="1" x14ac:dyDescent="0.25">
      <c r="E18" s="253"/>
      <c r="F18" s="253"/>
    </row>
    <row r="19" spans="1:14" s="264" customFormat="1" x14ac:dyDescent="0.25">
      <c r="D19" s="270" t="s">
        <v>666</v>
      </c>
      <c r="E19" s="253"/>
      <c r="F19" s="253"/>
    </row>
    <row r="20" spans="1:14" s="264" customFormat="1" x14ac:dyDescent="0.25">
      <c r="B20" s="253" t="s">
        <v>337</v>
      </c>
      <c r="C20" s="268"/>
      <c r="D20" s="254">
        <v>3</v>
      </c>
      <c r="E20" s="257">
        <f>'MP EE Ins'!P32/52*D20</f>
        <v>8929.8173076923067</v>
      </c>
      <c r="F20" s="253" t="s">
        <v>6</v>
      </c>
      <c r="G20" s="253" t="s">
        <v>479</v>
      </c>
    </row>
    <row r="21" spans="1:14" s="264" customFormat="1" x14ac:dyDescent="0.25">
      <c r="B21" s="253"/>
      <c r="C21" s="253"/>
      <c r="D21" s="253"/>
      <c r="E21" s="253"/>
      <c r="F21" s="253"/>
    </row>
    <row r="22" spans="1:14" s="264" customFormat="1" x14ac:dyDescent="0.25">
      <c r="B22" s="253"/>
      <c r="C22" s="253"/>
      <c r="D22" s="266" t="s">
        <v>342</v>
      </c>
      <c r="E22" s="267">
        <v>5000</v>
      </c>
      <c r="F22" s="267" t="s">
        <v>6</v>
      </c>
    </row>
    <row r="23" spans="1:14" s="64" customFormat="1" ht="15.75" thickBot="1" x14ac:dyDescent="0.3">
      <c r="B23" s="61"/>
      <c r="C23" s="61"/>
      <c r="D23" s="61"/>
      <c r="E23" s="61"/>
      <c r="F23" s="61"/>
    </row>
    <row r="24" spans="1:14" s="4" customFormat="1" x14ac:dyDescent="0.25">
      <c r="B24"/>
      <c r="C24"/>
      <c r="D24"/>
      <c r="E24"/>
      <c r="F24"/>
    </row>
    <row r="25" spans="1:14" s="4" customFormat="1" x14ac:dyDescent="0.25">
      <c r="A25" s="56" t="s">
        <v>290</v>
      </c>
      <c r="B25" s="56"/>
      <c r="C25" s="56"/>
      <c r="D25" s="56"/>
      <c r="E25"/>
      <c r="F25"/>
    </row>
    <row r="26" spans="1:14" s="264" customFormat="1" x14ac:dyDescent="0.25">
      <c r="E26" s="253"/>
      <c r="F26" s="253"/>
    </row>
    <row r="27" spans="1:14" s="264" customFormat="1" x14ac:dyDescent="0.25">
      <c r="B27" s="253" t="s">
        <v>337</v>
      </c>
      <c r="C27" s="268"/>
      <c r="D27" s="253"/>
      <c r="E27" s="257">
        <f>(L27+L28)/2</f>
        <v>83485.026062893259</v>
      </c>
      <c r="F27" s="253" t="s">
        <v>6</v>
      </c>
      <c r="G27" s="253"/>
      <c r="I27" s="280"/>
      <c r="J27" s="253" t="s">
        <v>481</v>
      </c>
      <c r="L27" s="257">
        <f>(Costos!D8/52)</f>
        <v>25617.344746394836</v>
      </c>
      <c r="M27" s="253" t="s">
        <v>6</v>
      </c>
      <c r="N27" s="253"/>
    </row>
    <row r="28" spans="1:14" s="264" customFormat="1" x14ac:dyDescent="0.25">
      <c r="B28" s="253"/>
      <c r="C28" s="253"/>
      <c r="D28" s="253"/>
      <c r="E28" s="253"/>
      <c r="F28" s="253"/>
      <c r="J28" s="257" t="s">
        <v>482</v>
      </c>
      <c r="K28" s="253"/>
      <c r="L28" s="257">
        <f>Costos!G59/52</f>
        <v>141352.70737939168</v>
      </c>
      <c r="M28" s="253" t="s">
        <v>6</v>
      </c>
    </row>
    <row r="29" spans="1:14" s="264" customFormat="1" x14ac:dyDescent="0.25">
      <c r="B29" s="253"/>
      <c r="C29" s="253"/>
      <c r="D29" s="266" t="s">
        <v>342</v>
      </c>
      <c r="E29" s="267">
        <v>80000</v>
      </c>
      <c r="F29" s="267" t="s">
        <v>6</v>
      </c>
    </row>
    <row r="30" spans="1:14" s="64" customFormat="1" ht="15.75" thickBot="1" x14ac:dyDescent="0.3">
      <c r="B30" s="61"/>
      <c r="C30" s="61"/>
      <c r="D30" s="61"/>
      <c r="E30" s="61"/>
      <c r="F30" s="61"/>
    </row>
    <row r="31" spans="1:14" s="4" customFormat="1" x14ac:dyDescent="0.25">
      <c r="B31"/>
      <c r="C31"/>
      <c r="D31"/>
      <c r="E31"/>
      <c r="F31"/>
    </row>
    <row r="32" spans="1:14" s="4" customFormat="1" x14ac:dyDescent="0.25">
      <c r="A32" s="56" t="s">
        <v>291</v>
      </c>
      <c r="B32" s="56"/>
      <c r="C32" s="56"/>
      <c r="D32" s="56"/>
      <c r="F32"/>
    </row>
    <row r="33" spans="1:7" s="264" customFormat="1" x14ac:dyDescent="0.25">
      <c r="F33" s="253"/>
    </row>
    <row r="34" spans="1:7" s="264" customFormat="1" x14ac:dyDescent="0.25">
      <c r="D34" s="270" t="s">
        <v>666</v>
      </c>
      <c r="F34" s="253"/>
    </row>
    <row r="35" spans="1:7" s="264" customFormat="1" x14ac:dyDescent="0.25">
      <c r="B35" s="253" t="s">
        <v>337</v>
      </c>
      <c r="C35" s="268"/>
      <c r="D35" s="254">
        <v>4</v>
      </c>
      <c r="E35" s="257">
        <f>Costos!G59*D35/52</f>
        <v>565410.82951756672</v>
      </c>
      <c r="F35" s="253" t="s">
        <v>6</v>
      </c>
      <c r="G35" s="253" t="s">
        <v>392</v>
      </c>
    </row>
    <row r="36" spans="1:7" s="264" customFormat="1" x14ac:dyDescent="0.25">
      <c r="B36" s="253"/>
      <c r="C36" s="253"/>
      <c r="D36" s="253"/>
      <c r="E36" s="253"/>
      <c r="F36" s="253"/>
    </row>
    <row r="37" spans="1:7" s="264" customFormat="1" x14ac:dyDescent="0.25">
      <c r="B37" s="253"/>
      <c r="C37" s="253"/>
      <c r="D37" s="266" t="s">
        <v>342</v>
      </c>
      <c r="E37" s="267">
        <v>500000</v>
      </c>
      <c r="F37" s="267" t="s">
        <v>6</v>
      </c>
    </row>
    <row r="38" spans="1:7" s="64" customFormat="1" ht="15.75" thickBot="1" x14ac:dyDescent="0.3">
      <c r="F38" s="61"/>
    </row>
    <row r="39" spans="1:7" s="4" customFormat="1" x14ac:dyDescent="0.25">
      <c r="F39"/>
    </row>
    <row r="40" spans="1:7" s="4" customFormat="1" x14ac:dyDescent="0.25">
      <c r="A40" s="56" t="s">
        <v>292</v>
      </c>
      <c r="B40" s="80"/>
      <c r="C40" s="80"/>
      <c r="D40" s="80"/>
      <c r="F40"/>
    </row>
    <row r="41" spans="1:7" s="264" customFormat="1" x14ac:dyDescent="0.25">
      <c r="D41" s="270"/>
      <c r="F41" s="253"/>
    </row>
    <row r="42" spans="1:7" s="264" customFormat="1" x14ac:dyDescent="0.25">
      <c r="D42" s="270" t="s">
        <v>666</v>
      </c>
      <c r="F42" s="253"/>
    </row>
    <row r="43" spans="1:7" s="264" customFormat="1" x14ac:dyDescent="0.25">
      <c r="B43" s="253" t="s">
        <v>337</v>
      </c>
      <c r="C43" s="268"/>
      <c r="D43" s="254">
        <v>4</v>
      </c>
      <c r="E43" s="257">
        <f>Costos!G59*D43/52</f>
        <v>565410.82951756672</v>
      </c>
      <c r="F43" s="253" t="s">
        <v>6</v>
      </c>
      <c r="G43" s="253" t="s">
        <v>393</v>
      </c>
    </row>
    <row r="44" spans="1:7" s="264" customFormat="1" x14ac:dyDescent="0.25">
      <c r="B44" s="253"/>
      <c r="C44" s="253"/>
      <c r="D44" s="253"/>
      <c r="E44" s="253"/>
      <c r="F44" s="253"/>
    </row>
    <row r="45" spans="1:7" s="264" customFormat="1" x14ac:dyDescent="0.25">
      <c r="B45" s="253"/>
      <c r="C45" s="253"/>
      <c r="D45" s="266" t="s">
        <v>342</v>
      </c>
      <c r="E45" s="267">
        <f>E37</f>
        <v>500000</v>
      </c>
      <c r="F45" s="267" t="s">
        <v>6</v>
      </c>
    </row>
    <row r="46" spans="1:7" s="64" customFormat="1" ht="15.75" thickBot="1" x14ac:dyDescent="0.3">
      <c r="F46" s="61"/>
    </row>
    <row r="47" spans="1:7" s="4" customFormat="1" x14ac:dyDescent="0.25">
      <c r="F47"/>
    </row>
    <row r="48" spans="1:7" x14ac:dyDescent="0.25">
      <c r="A48" s="81" t="s">
        <v>298</v>
      </c>
      <c r="B48" s="56"/>
      <c r="C48" s="56"/>
      <c r="D48" s="56"/>
    </row>
    <row r="49" spans="1:11" s="253" customFormat="1" x14ac:dyDescent="0.25">
      <c r="A49" s="264"/>
      <c r="B49" s="264"/>
      <c r="C49" s="264"/>
      <c r="D49" s="264"/>
    </row>
    <row r="50" spans="1:11" s="253" customFormat="1" x14ac:dyDescent="0.25">
      <c r="B50" s="253" t="s">
        <v>337</v>
      </c>
      <c r="C50" s="268"/>
      <c r="D50" s="253" t="s">
        <v>385</v>
      </c>
      <c r="E50" s="257">
        <f>E7+E14+E22+E29+E37+E45</f>
        <v>1300000</v>
      </c>
      <c r="F50" s="253" t="s">
        <v>6</v>
      </c>
    </row>
    <row r="51" spans="1:11" s="253" customFormat="1" x14ac:dyDescent="0.25">
      <c r="B51" s="253" t="s">
        <v>338</v>
      </c>
      <c r="C51" s="260">
        <v>0.1</v>
      </c>
      <c r="D51" s="253" t="s">
        <v>388</v>
      </c>
      <c r="E51" s="257">
        <f>C51*'Inv Totales'!C26</f>
        <v>1795597.1</v>
      </c>
      <c r="F51" s="253" t="s">
        <v>6</v>
      </c>
      <c r="G51" s="253" t="s">
        <v>387</v>
      </c>
    </row>
    <row r="52" spans="1:11" s="253" customFormat="1" x14ac:dyDescent="0.25">
      <c r="B52" s="253" t="s">
        <v>339</v>
      </c>
      <c r="C52" s="260">
        <v>0.15</v>
      </c>
      <c r="D52" s="253" t="s">
        <v>299</v>
      </c>
      <c r="E52" s="257">
        <f>C52*'Inv Totales'!C24</f>
        <v>2498395.65</v>
      </c>
      <c r="F52" s="253" t="s">
        <v>6</v>
      </c>
      <c r="G52" s="253" t="s">
        <v>386</v>
      </c>
    </row>
    <row r="53" spans="1:11" s="253" customFormat="1" x14ac:dyDescent="0.25">
      <c r="B53" s="253" t="s">
        <v>370</v>
      </c>
      <c r="C53" s="260">
        <v>0.15</v>
      </c>
      <c r="D53" s="253" t="s">
        <v>388</v>
      </c>
      <c r="E53" s="257">
        <f>C53*'Inv Totales'!C26</f>
        <v>2693395.65</v>
      </c>
      <c r="F53" s="253" t="s">
        <v>6</v>
      </c>
      <c r="G53" s="253" t="s">
        <v>389</v>
      </c>
    </row>
    <row r="54" spans="1:11" s="253" customFormat="1" x14ac:dyDescent="0.25">
      <c r="B54" s="253" t="s">
        <v>371</v>
      </c>
      <c r="C54" s="260">
        <v>0.2</v>
      </c>
      <c r="D54" s="253" t="s">
        <v>391</v>
      </c>
      <c r="E54" s="257">
        <f>Ingresos!P9*C54</f>
        <v>1800000</v>
      </c>
      <c r="F54" s="253" t="s">
        <v>6</v>
      </c>
      <c r="G54" s="253" t="s">
        <v>390</v>
      </c>
    </row>
    <row r="55" spans="1:11" s="253" customFormat="1" x14ac:dyDescent="0.25">
      <c r="K55" s="264"/>
    </row>
    <row r="56" spans="1:11" s="253" customFormat="1" x14ac:dyDescent="0.25">
      <c r="D56" s="266" t="s">
        <v>342</v>
      </c>
      <c r="E56" s="267">
        <v>1300000</v>
      </c>
      <c r="F56" s="267" t="s">
        <v>6</v>
      </c>
    </row>
    <row r="57" spans="1:11" s="61" customFormat="1" ht="15.75" thickBot="1" x14ac:dyDescent="0.3"/>
  </sheetData>
  <phoneticPr fontId="7" type="noConversion"/>
  <pageMargins left="0.7" right="0.7" top="0.75" bottom="0.75" header="0.3" footer="0.3"/>
  <ignoredErrors>
    <ignoredError sqref="E52"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85E78-CAA9-4F95-B3F5-64DFD38DD564}">
  <dimension ref="B1:G26"/>
  <sheetViews>
    <sheetView topLeftCell="A24" zoomScaleNormal="100" workbookViewId="0">
      <selection activeCell="C23" sqref="C23"/>
    </sheetView>
  </sheetViews>
  <sheetFormatPr baseColWidth="10" defaultRowHeight="15" x14ac:dyDescent="0.25"/>
  <cols>
    <col min="1" max="1" width="2.7109375" style="253" customWidth="1"/>
    <col min="2" max="2" width="66.7109375" style="253" customWidth="1"/>
    <col min="3" max="3" width="11.42578125" style="253"/>
    <col min="4" max="4" width="40.42578125" style="253" customWidth="1"/>
    <col min="5" max="5" width="5.5703125" style="253" bestFit="1" customWidth="1"/>
    <col min="6" max="6" width="11.85546875" style="253" customWidth="1"/>
    <col min="7" max="7" width="4.5703125" style="253" bestFit="1" customWidth="1"/>
    <col min="8" max="16384" width="11.42578125" style="253"/>
  </cols>
  <sheetData>
    <row r="1" spans="2:7" ht="15.75" thickBot="1" x14ac:dyDescent="0.3"/>
    <row r="2" spans="2:7" s="270" customFormat="1" ht="30.75" thickBot="1" x14ac:dyDescent="0.3">
      <c r="C2" s="281" t="s">
        <v>6</v>
      </c>
      <c r="D2" s="249" t="s">
        <v>382</v>
      </c>
      <c r="E2" s="265" t="s">
        <v>297</v>
      </c>
      <c r="F2" s="249" t="s">
        <v>311</v>
      </c>
    </row>
    <row r="3" spans="2:7" ht="30" x14ac:dyDescent="0.25">
      <c r="B3" s="282" t="s">
        <v>260</v>
      </c>
      <c r="C3" s="283">
        <f>C4+C11+C13+C14+C15+C12</f>
        <v>10995971</v>
      </c>
      <c r="D3" s="284" t="s">
        <v>249</v>
      </c>
      <c r="E3" s="164">
        <f>C3/C24</f>
        <v>0.66018192514864493</v>
      </c>
      <c r="F3" s="285"/>
      <c r="G3" s="284"/>
    </row>
    <row r="4" spans="2:7" x14ac:dyDescent="0.25">
      <c r="B4" s="286" t="s">
        <v>248</v>
      </c>
      <c r="C4" s="287">
        <f>SUM(C5:C10)</f>
        <v>6855971</v>
      </c>
      <c r="D4" s="284" t="s">
        <v>250</v>
      </c>
      <c r="E4" s="164">
        <f>C4/C24</f>
        <v>0.4116224145683251</v>
      </c>
      <c r="F4" s="285"/>
      <c r="G4" s="284"/>
    </row>
    <row r="5" spans="2:7" x14ac:dyDescent="0.25">
      <c r="B5" s="286" t="s">
        <v>741</v>
      </c>
      <c r="C5" s="287">
        <f>'Inv Equipos'!I50</f>
        <v>1584702</v>
      </c>
      <c r="D5" s="284" t="s">
        <v>251</v>
      </c>
      <c r="E5" s="164">
        <f>C5/C24</f>
        <v>9.5143177182525115E-2</v>
      </c>
      <c r="F5" s="285" t="s">
        <v>312</v>
      </c>
      <c r="G5" s="164">
        <f>C5/$C$24</f>
        <v>9.5143177182525115E-2</v>
      </c>
    </row>
    <row r="6" spans="2:7" x14ac:dyDescent="0.25">
      <c r="B6" s="286" t="s">
        <v>742</v>
      </c>
      <c r="C6" s="287">
        <f>'Inv Equipos'!I51-'Inv Equipos'!I50</f>
        <v>673093</v>
      </c>
      <c r="D6" s="284"/>
      <c r="E6" s="164"/>
      <c r="F6" s="285"/>
      <c r="G6" s="164"/>
    </row>
    <row r="7" spans="2:7" x14ac:dyDescent="0.25">
      <c r="B7" s="286" t="s">
        <v>743</v>
      </c>
      <c r="C7" s="287">
        <f>'Inv Equipos'!I52-'Inv Equipos'!I51+'Otras IA Tangibles'!E104</f>
        <v>1348176</v>
      </c>
      <c r="D7" s="284" t="s">
        <v>252</v>
      </c>
      <c r="E7" s="164">
        <f>C7/C5</f>
        <v>0.85074417776970057</v>
      </c>
      <c r="F7" s="285" t="s">
        <v>313</v>
      </c>
      <c r="G7" s="164">
        <f t="shared" ref="G7:G14" si="0">C7/$C$24</f>
        <v>8.0942504042544258E-2</v>
      </c>
    </row>
    <row r="8" spans="2:7" x14ac:dyDescent="0.25">
      <c r="B8" s="286" t="s">
        <v>744</v>
      </c>
      <c r="C8" s="287">
        <f>'Otras IA Tangibles'!E65</f>
        <v>750000</v>
      </c>
      <c r="D8" s="284" t="s">
        <v>253</v>
      </c>
      <c r="E8" s="164">
        <f>C8/C5</f>
        <v>0.47327510156483682</v>
      </c>
      <c r="F8" s="285" t="s">
        <v>314</v>
      </c>
      <c r="G8" s="164">
        <f t="shared" si="0"/>
        <v>4.5028896844260834E-2</v>
      </c>
    </row>
    <row r="9" spans="2:7" x14ac:dyDescent="0.25">
      <c r="B9" s="286" t="s">
        <v>745</v>
      </c>
      <c r="C9" s="287">
        <f>'Otras IA Tangibles'!E77</f>
        <v>2000000</v>
      </c>
      <c r="D9" s="284" t="s">
        <v>254</v>
      </c>
      <c r="E9" s="164">
        <f>C9/C5</f>
        <v>1.2620669375062314</v>
      </c>
      <c r="F9" s="285" t="s">
        <v>315</v>
      </c>
      <c r="G9" s="164">
        <f t="shared" si="0"/>
        <v>0.12007705825136222</v>
      </c>
    </row>
    <row r="10" spans="2:7" x14ac:dyDescent="0.25">
      <c r="B10" s="286" t="s">
        <v>746</v>
      </c>
      <c r="C10" s="287">
        <f>'Otras IA Tangibles'!E88</f>
        <v>500000</v>
      </c>
      <c r="D10" s="284" t="s">
        <v>255</v>
      </c>
      <c r="E10" s="164">
        <f>C10/C5</f>
        <v>0.31551673437655786</v>
      </c>
      <c r="F10" s="285" t="s">
        <v>316</v>
      </c>
      <c r="G10" s="164">
        <f t="shared" si="0"/>
        <v>3.0019264562840556E-2</v>
      </c>
    </row>
    <row r="11" spans="2:7" x14ac:dyDescent="0.25">
      <c r="B11" s="286" t="s">
        <v>256</v>
      </c>
      <c r="C11" s="287">
        <f>'Otras IA Tangibles'!E56</f>
        <v>1300000</v>
      </c>
      <c r="D11" s="284" t="s">
        <v>257</v>
      </c>
      <c r="E11" s="164">
        <f>C11/C5</f>
        <v>0.82034350937905043</v>
      </c>
      <c r="F11" s="285" t="s">
        <v>317</v>
      </c>
      <c r="G11" s="164">
        <f t="shared" si="0"/>
        <v>7.8050087863385451E-2</v>
      </c>
    </row>
    <row r="12" spans="2:7" x14ac:dyDescent="0.25">
      <c r="B12" s="286" t="s">
        <v>308</v>
      </c>
      <c r="C12" s="287">
        <f>'Otras IA Tangibles'!E30</f>
        <v>400000</v>
      </c>
      <c r="D12" s="484" t="s">
        <v>258</v>
      </c>
      <c r="E12" s="485">
        <f>(C13+C12)/C5</f>
        <v>1.4513769781321662</v>
      </c>
      <c r="F12" s="285" t="s">
        <v>318</v>
      </c>
      <c r="G12" s="164">
        <f t="shared" si="0"/>
        <v>2.4015411650272447E-2</v>
      </c>
    </row>
    <row r="13" spans="2:7" x14ac:dyDescent="0.25">
      <c r="B13" s="286" t="s">
        <v>309</v>
      </c>
      <c r="C13" s="287">
        <f>'Otras IA Tangibles'!E115</f>
        <v>1900000</v>
      </c>
      <c r="D13" s="484"/>
      <c r="E13" s="485"/>
      <c r="F13" s="285" t="s">
        <v>319</v>
      </c>
      <c r="G13" s="164">
        <f t="shared" si="0"/>
        <v>0.11407320533879411</v>
      </c>
    </row>
    <row r="14" spans="2:7" x14ac:dyDescent="0.25">
      <c r="B14" s="286" t="s">
        <v>168</v>
      </c>
      <c r="C14" s="287">
        <f>'Otras IA Tangibles'!E8</f>
        <v>170000</v>
      </c>
      <c r="D14" s="284" t="s">
        <v>310</v>
      </c>
      <c r="E14" s="164">
        <f>C14/C5</f>
        <v>0.10727568968802967</v>
      </c>
      <c r="F14" s="285" t="s">
        <v>320</v>
      </c>
      <c r="G14" s="164">
        <f t="shared" si="0"/>
        <v>1.0206549951365789E-2</v>
      </c>
    </row>
    <row r="15" spans="2:7" ht="15.75" thickBot="1" x14ac:dyDescent="0.3">
      <c r="B15" s="288" t="s">
        <v>294</v>
      </c>
      <c r="C15" s="289">
        <f>'Otras IA Tangibles'!E147+'Otras IA Tangibles'!E159+'Otras IA Tangibles'!E167+'Otras IA Tangibles'!E179+'Otras IA Tangibles'!E193</f>
        <v>370000</v>
      </c>
      <c r="D15" s="284"/>
      <c r="E15" s="164"/>
      <c r="F15" s="285"/>
      <c r="G15" s="164"/>
    </row>
    <row r="16" spans="2:7" ht="30" customHeight="1" x14ac:dyDescent="0.25">
      <c r="B16" s="282" t="s">
        <v>259</v>
      </c>
      <c r="C16" s="283">
        <f>SUM(C17:C23)</f>
        <v>5660000</v>
      </c>
      <c r="D16" s="284" t="s">
        <v>261</v>
      </c>
      <c r="E16" s="164">
        <f>C16/C24</f>
        <v>0.33981807485135512</v>
      </c>
      <c r="F16" s="285"/>
      <c r="G16" s="164"/>
    </row>
    <row r="17" spans="2:7" x14ac:dyDescent="0.25">
      <c r="B17" s="286" t="s">
        <v>262</v>
      </c>
      <c r="C17" s="287">
        <f>'IA Intangibles'!E8</f>
        <v>950000</v>
      </c>
      <c r="D17" s="284" t="s">
        <v>265</v>
      </c>
      <c r="E17" s="164">
        <f>C17/C3</f>
        <v>8.6395280598684732E-2</v>
      </c>
      <c r="F17" s="285" t="s">
        <v>321</v>
      </c>
      <c r="G17" s="164">
        <f>C17/$C$24</f>
        <v>5.7036602669397057E-2</v>
      </c>
    </row>
    <row r="18" spans="2:7" x14ac:dyDescent="0.25">
      <c r="B18" s="286" t="s">
        <v>263</v>
      </c>
      <c r="C18" s="287">
        <f>'IA Intangibles'!E57</f>
        <v>200000</v>
      </c>
      <c r="D18" s="284" t="s">
        <v>266</v>
      </c>
      <c r="E18" s="164">
        <f>C18/C24</f>
        <v>1.2007705825136224E-2</v>
      </c>
      <c r="F18" s="285" t="s">
        <v>322</v>
      </c>
      <c r="G18" s="164">
        <f t="shared" ref="G18:G21" si="1">C18/$C$24</f>
        <v>1.2007705825136224E-2</v>
      </c>
    </row>
    <row r="19" spans="2:7" x14ac:dyDescent="0.25">
      <c r="B19" s="286" t="s">
        <v>325</v>
      </c>
      <c r="C19" s="287">
        <f>'IA Intangibles'!E20</f>
        <v>1250000</v>
      </c>
      <c r="D19" s="484" t="s">
        <v>267</v>
      </c>
      <c r="E19" s="486">
        <f>(C19+C20)/C24</f>
        <v>0.12908283762021439</v>
      </c>
      <c r="F19" s="285" t="s">
        <v>315</v>
      </c>
      <c r="G19" s="164">
        <f t="shared" si="1"/>
        <v>7.5048161407101396E-2</v>
      </c>
    </row>
    <row r="20" spans="2:7" x14ac:dyDescent="0.25">
      <c r="B20" s="286" t="s">
        <v>274</v>
      </c>
      <c r="C20" s="287">
        <f>'IA Intangibles'!E30</f>
        <v>900000</v>
      </c>
      <c r="D20" s="484"/>
      <c r="E20" s="486"/>
      <c r="F20" s="285" t="s">
        <v>323</v>
      </c>
      <c r="G20" s="164">
        <f t="shared" si="1"/>
        <v>5.4034676213113003E-2</v>
      </c>
    </row>
    <row r="21" spans="2:7" x14ac:dyDescent="0.25">
      <c r="B21" s="286" t="s">
        <v>264</v>
      </c>
      <c r="C21" s="287">
        <f>'IA Intangibles'!E90</f>
        <v>1500000</v>
      </c>
      <c r="D21" s="284" t="s">
        <v>268</v>
      </c>
      <c r="E21" s="164">
        <f>C21/C24</f>
        <v>9.0057793688521667E-2</v>
      </c>
      <c r="F21" s="285" t="s">
        <v>324</v>
      </c>
      <c r="G21" s="164">
        <f t="shared" si="1"/>
        <v>9.0057793688521667E-2</v>
      </c>
    </row>
    <row r="22" spans="2:7" x14ac:dyDescent="0.25">
      <c r="B22" s="286" t="s">
        <v>281</v>
      </c>
      <c r="C22" s="287">
        <f>'IA Intangibles'!E42</f>
        <v>460000</v>
      </c>
      <c r="D22" s="284"/>
      <c r="E22" s="164"/>
      <c r="F22" s="285"/>
      <c r="G22" s="164"/>
    </row>
    <row r="23" spans="2:7" ht="15.75" thickBot="1" x14ac:dyDescent="0.3">
      <c r="B23" s="288" t="s">
        <v>294</v>
      </c>
      <c r="C23" s="289">
        <f>'IA Intangibles'!E69+'IA Intangibles'!E76+'IA Intangibles'!E83</f>
        <v>400000</v>
      </c>
      <c r="D23" s="284"/>
      <c r="E23" s="164"/>
      <c r="F23" s="285"/>
      <c r="G23" s="164"/>
    </row>
    <row r="24" spans="2:7" ht="15.75" thickBot="1" x14ac:dyDescent="0.3">
      <c r="B24" s="290" t="s">
        <v>269</v>
      </c>
      <c r="C24" s="291">
        <f>C3+C16</f>
        <v>16655971</v>
      </c>
      <c r="D24" s="284"/>
      <c r="E24" s="164"/>
      <c r="F24" s="285"/>
      <c r="G24" s="164"/>
    </row>
    <row r="25" spans="2:7" ht="15.75" thickBot="1" x14ac:dyDescent="0.3">
      <c r="B25" s="290" t="s">
        <v>270</v>
      </c>
      <c r="C25" s="292">
        <f>INA!E56</f>
        <v>1300000</v>
      </c>
      <c r="D25" s="284" t="s">
        <v>271</v>
      </c>
      <c r="E25" s="164">
        <f>C25/C26</f>
        <v>7.2399314968820128E-2</v>
      </c>
      <c r="F25" s="285"/>
      <c r="G25" s="164"/>
    </row>
    <row r="26" spans="2:7" ht="15.75" thickBot="1" x14ac:dyDescent="0.3">
      <c r="B26" s="290" t="s">
        <v>272</v>
      </c>
      <c r="C26" s="291">
        <f>C24+C25</f>
        <v>17955971</v>
      </c>
      <c r="D26" s="284"/>
      <c r="E26" s="164"/>
      <c r="F26" s="284"/>
      <c r="G26" s="284"/>
    </row>
  </sheetData>
  <mergeCells count="4">
    <mergeCell ref="D12:D13"/>
    <mergeCell ref="E12:E13"/>
    <mergeCell ref="D19:D20"/>
    <mergeCell ref="E19:E20"/>
  </mergeCells>
  <pageMargins left="0.7" right="0.7" top="0.75" bottom="0.75" header="0.3" footer="0.3"/>
  <pageSetup orientation="portrait" horizontalDpi="30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R162"/>
  <sheetViews>
    <sheetView topLeftCell="A21" workbookViewId="0">
      <selection activeCell="B26" sqref="B26"/>
    </sheetView>
  </sheetViews>
  <sheetFormatPr baseColWidth="10" defaultRowHeight="15" x14ac:dyDescent="0.25"/>
  <cols>
    <col min="2" max="2" width="49" bestFit="1" customWidth="1"/>
    <col min="3" max="3" width="14.7109375" bestFit="1" customWidth="1"/>
    <col min="4" max="4" width="13.28515625" customWidth="1"/>
    <col min="5" max="5" width="13.5703125" customWidth="1"/>
    <col min="9" max="9" width="45.85546875" bestFit="1" customWidth="1"/>
    <col min="10" max="14" width="14.7109375" customWidth="1"/>
  </cols>
  <sheetData>
    <row r="2" spans="1:18" x14ac:dyDescent="0.25">
      <c r="A2" s="56" t="s">
        <v>472</v>
      </c>
      <c r="B2" s="56"/>
    </row>
    <row r="3" spans="1:18" s="253" customFormat="1" ht="15.75" thickBot="1" x14ac:dyDescent="0.3"/>
    <row r="4" spans="1:18" s="253" customFormat="1" ht="45.75" thickBot="1" x14ac:dyDescent="0.3">
      <c r="B4" s="293" t="s">
        <v>6</v>
      </c>
      <c r="C4" s="293" t="s">
        <v>165</v>
      </c>
      <c r="D4" s="294" t="s">
        <v>166</v>
      </c>
      <c r="E4" s="294" t="s">
        <v>167</v>
      </c>
      <c r="F4" s="295" t="s">
        <v>168</v>
      </c>
      <c r="G4" s="296" t="s">
        <v>169</v>
      </c>
      <c r="I4" s="296" t="s">
        <v>307</v>
      </c>
      <c r="J4" s="297" t="s">
        <v>165</v>
      </c>
      <c r="K4" s="298" t="s">
        <v>166</v>
      </c>
      <c r="L4" s="298" t="s">
        <v>167</v>
      </c>
      <c r="M4" s="298" t="s">
        <v>168</v>
      </c>
      <c r="N4" s="299" t="s">
        <v>169</v>
      </c>
    </row>
    <row r="5" spans="1:18" s="253" customFormat="1" ht="15.75" thickBot="1" x14ac:dyDescent="0.3">
      <c r="B5" s="300" t="s">
        <v>168</v>
      </c>
      <c r="C5" s="301"/>
      <c r="D5" s="302"/>
      <c r="E5" s="302"/>
      <c r="F5" s="303">
        <f>'Inv Totales'!C14</f>
        <v>170000</v>
      </c>
      <c r="G5" s="304">
        <f>SUM(C5:F5)</f>
        <v>170000</v>
      </c>
      <c r="I5" s="305" t="s">
        <v>168</v>
      </c>
      <c r="J5" s="306">
        <f>C5/1000</f>
        <v>0</v>
      </c>
      <c r="K5" s="307">
        <f t="shared" ref="K5:N5" si="0">D5/1000</f>
        <v>0</v>
      </c>
      <c r="L5" s="307">
        <f t="shared" si="0"/>
        <v>0</v>
      </c>
      <c r="M5" s="308">
        <f t="shared" si="0"/>
        <v>170</v>
      </c>
      <c r="N5" s="309">
        <f t="shared" si="0"/>
        <v>170</v>
      </c>
    </row>
    <row r="6" spans="1:18" s="253" customFormat="1" x14ac:dyDescent="0.25">
      <c r="A6" s="310"/>
      <c r="B6" s="311" t="s">
        <v>170</v>
      </c>
      <c r="C6" s="312">
        <f>'Inv Totales'!C12</f>
        <v>400000</v>
      </c>
      <c r="D6" s="313"/>
      <c r="E6" s="313"/>
      <c r="F6" s="314"/>
      <c r="G6" s="492">
        <f>SUM(C6:F18)</f>
        <v>10825971</v>
      </c>
      <c r="I6" s="315" t="s">
        <v>170</v>
      </c>
      <c r="J6" s="316">
        <f t="shared" ref="J6:J35" si="1">C6/1000</f>
        <v>400</v>
      </c>
      <c r="K6" s="317">
        <f t="shared" ref="K6:K35" si="2">D6/1000</f>
        <v>0</v>
      </c>
      <c r="L6" s="317">
        <f t="shared" ref="L6:L35" si="3">E6/1000</f>
        <v>0</v>
      </c>
      <c r="M6" s="317">
        <f t="shared" ref="M6:M35" si="4">F6/1000</f>
        <v>0</v>
      </c>
      <c r="N6" s="492">
        <f>SUM(J6:M18)</f>
        <v>10825.971</v>
      </c>
      <c r="Q6" s="253" t="str">
        <f>B5</f>
        <v>Terreno</v>
      </c>
      <c r="R6" s="257">
        <f>G5</f>
        <v>170000</v>
      </c>
    </row>
    <row r="7" spans="1:18" s="253" customFormat="1" x14ac:dyDescent="0.25">
      <c r="A7" s="310"/>
      <c r="B7" s="311" t="s">
        <v>189</v>
      </c>
      <c r="C7" s="312">
        <f>'Inv Totales'!C11</f>
        <v>1300000</v>
      </c>
      <c r="D7" s="313"/>
      <c r="E7" s="313"/>
      <c r="F7" s="314"/>
      <c r="G7" s="493"/>
      <c r="I7" s="315" t="s">
        <v>189</v>
      </c>
      <c r="J7" s="316">
        <f t="shared" si="1"/>
        <v>1300</v>
      </c>
      <c r="K7" s="317">
        <f t="shared" si="2"/>
        <v>0</v>
      </c>
      <c r="L7" s="317">
        <f t="shared" si="3"/>
        <v>0</v>
      </c>
      <c r="M7" s="317">
        <f t="shared" si="4"/>
        <v>0</v>
      </c>
      <c r="N7" s="493"/>
      <c r="Q7" s="253" t="str">
        <f>C4</f>
        <v>Inversiones amortizables tangibles</v>
      </c>
      <c r="R7" s="257">
        <f>G6</f>
        <v>10825971</v>
      </c>
    </row>
    <row r="8" spans="1:18" s="253" customFormat="1" x14ac:dyDescent="0.25">
      <c r="A8" s="310"/>
      <c r="B8" s="311" t="s">
        <v>300</v>
      </c>
      <c r="C8" s="312">
        <f>'Inv Totales'!C5+'Inv Totales'!C6+'Inv Totales'!C7-'Otras IA Tangibles'!E104</f>
        <v>3365971</v>
      </c>
      <c r="D8" s="313"/>
      <c r="E8" s="313"/>
      <c r="F8" s="314"/>
      <c r="G8" s="493"/>
      <c r="I8" s="315" t="s">
        <v>300</v>
      </c>
      <c r="J8" s="316">
        <f t="shared" si="1"/>
        <v>3365.971</v>
      </c>
      <c r="K8" s="317">
        <f t="shared" si="2"/>
        <v>0</v>
      </c>
      <c r="L8" s="317">
        <f t="shared" si="3"/>
        <v>0</v>
      </c>
      <c r="M8" s="317">
        <f t="shared" si="4"/>
        <v>0</v>
      </c>
      <c r="N8" s="493"/>
      <c r="Q8" s="253" t="str">
        <f>D4</f>
        <v>Inversiones amortizables intangibles</v>
      </c>
      <c r="R8" s="257">
        <f>G19</f>
        <v>4160000</v>
      </c>
    </row>
    <row r="9" spans="1:18" s="253" customFormat="1" x14ac:dyDescent="0.25">
      <c r="A9" s="310"/>
      <c r="B9" s="311" t="s">
        <v>219</v>
      </c>
      <c r="C9" s="312">
        <f>'Inv Totales'!C13</f>
        <v>1900000</v>
      </c>
      <c r="D9" s="313"/>
      <c r="E9" s="313"/>
      <c r="F9" s="314"/>
      <c r="G9" s="493"/>
      <c r="I9" s="315" t="s">
        <v>219</v>
      </c>
      <c r="J9" s="316">
        <f t="shared" si="1"/>
        <v>1900</v>
      </c>
      <c r="K9" s="317">
        <f t="shared" si="2"/>
        <v>0</v>
      </c>
      <c r="L9" s="317">
        <f t="shared" si="3"/>
        <v>0</v>
      </c>
      <c r="M9" s="317">
        <f t="shared" si="4"/>
        <v>0</v>
      </c>
      <c r="N9" s="493"/>
      <c r="Q9" s="253" t="str">
        <f>E4</f>
        <v>Inversiones no amortizables</v>
      </c>
      <c r="R9" s="257">
        <f>G28</f>
        <v>1300000</v>
      </c>
    </row>
    <row r="10" spans="1:18" s="253" customFormat="1" x14ac:dyDescent="0.25">
      <c r="A10" s="310"/>
      <c r="B10" s="311" t="s">
        <v>208</v>
      </c>
      <c r="C10" s="312">
        <f>'Inv Totales'!C8</f>
        <v>750000</v>
      </c>
      <c r="D10" s="313"/>
      <c r="E10" s="313"/>
      <c r="F10" s="314"/>
      <c r="G10" s="493"/>
      <c r="I10" s="315" t="s">
        <v>208</v>
      </c>
      <c r="J10" s="316">
        <f t="shared" si="1"/>
        <v>750</v>
      </c>
      <c r="K10" s="317">
        <f t="shared" si="2"/>
        <v>0</v>
      </c>
      <c r="L10" s="317">
        <f t="shared" si="3"/>
        <v>0</v>
      </c>
      <c r="M10" s="317">
        <f t="shared" si="4"/>
        <v>0</v>
      </c>
      <c r="N10" s="493"/>
      <c r="Q10" s="253" t="str">
        <f>B34</f>
        <v>Ajustes/Imprevistos</v>
      </c>
      <c r="R10" s="257">
        <f>G34</f>
        <v>1500000</v>
      </c>
    </row>
    <row r="11" spans="1:18" s="253" customFormat="1" x14ac:dyDescent="0.25">
      <c r="A11" s="310"/>
      <c r="B11" s="311" t="s">
        <v>214</v>
      </c>
      <c r="C11" s="312">
        <f>'Inv Totales'!C9</f>
        <v>2000000</v>
      </c>
      <c r="D11" s="313"/>
      <c r="E11" s="313"/>
      <c r="F11" s="314"/>
      <c r="G11" s="493"/>
      <c r="I11" s="315" t="s">
        <v>214</v>
      </c>
      <c r="J11" s="316">
        <f t="shared" si="1"/>
        <v>2000</v>
      </c>
      <c r="K11" s="317">
        <f t="shared" si="2"/>
        <v>0</v>
      </c>
      <c r="L11" s="317">
        <f t="shared" si="3"/>
        <v>0</v>
      </c>
      <c r="M11" s="317">
        <f t="shared" si="4"/>
        <v>0</v>
      </c>
      <c r="N11" s="493"/>
    </row>
    <row r="12" spans="1:18" s="253" customFormat="1" x14ac:dyDescent="0.25">
      <c r="A12" s="310"/>
      <c r="B12" s="311" t="s">
        <v>216</v>
      </c>
      <c r="C12" s="312">
        <f>'Inv Totales'!C10</f>
        <v>500000</v>
      </c>
      <c r="D12" s="313"/>
      <c r="E12" s="313"/>
      <c r="F12" s="314"/>
      <c r="G12" s="493"/>
      <c r="I12" s="315" t="s">
        <v>216</v>
      </c>
      <c r="J12" s="316">
        <f t="shared" si="1"/>
        <v>500</v>
      </c>
      <c r="K12" s="317">
        <f t="shared" si="2"/>
        <v>0</v>
      </c>
      <c r="L12" s="317">
        <f t="shared" si="3"/>
        <v>0</v>
      </c>
      <c r="M12" s="317">
        <f t="shared" si="4"/>
        <v>0</v>
      </c>
      <c r="N12" s="493"/>
    </row>
    <row r="13" spans="1:18" s="253" customFormat="1" x14ac:dyDescent="0.25">
      <c r="A13" s="310"/>
      <c r="B13" s="311" t="s">
        <v>217</v>
      </c>
      <c r="C13" s="312">
        <f>'Otras IA Tangibles'!E104</f>
        <v>240000</v>
      </c>
      <c r="D13" s="313"/>
      <c r="E13" s="313"/>
      <c r="F13" s="314"/>
      <c r="G13" s="493"/>
      <c r="I13" s="315" t="s">
        <v>217</v>
      </c>
      <c r="J13" s="316">
        <f t="shared" si="1"/>
        <v>240</v>
      </c>
      <c r="K13" s="317">
        <f t="shared" si="2"/>
        <v>0</v>
      </c>
      <c r="L13" s="317">
        <f t="shared" si="3"/>
        <v>0</v>
      </c>
      <c r="M13" s="317">
        <f t="shared" si="4"/>
        <v>0</v>
      </c>
      <c r="N13" s="493"/>
    </row>
    <row r="14" spans="1:18" s="253" customFormat="1" x14ac:dyDescent="0.25">
      <c r="A14" s="310"/>
      <c r="B14" s="311" t="s">
        <v>172</v>
      </c>
      <c r="C14" s="312">
        <f>'Otras IA Tangibles'!E147</f>
        <v>20000</v>
      </c>
      <c r="D14" s="313"/>
      <c r="E14" s="313"/>
      <c r="F14" s="314"/>
      <c r="G14" s="493"/>
      <c r="I14" s="315" t="s">
        <v>172</v>
      </c>
      <c r="J14" s="316">
        <f t="shared" si="1"/>
        <v>20</v>
      </c>
      <c r="K14" s="317">
        <f t="shared" si="2"/>
        <v>0</v>
      </c>
      <c r="L14" s="317">
        <f t="shared" si="3"/>
        <v>0</v>
      </c>
      <c r="M14" s="317">
        <f t="shared" si="4"/>
        <v>0</v>
      </c>
      <c r="N14" s="493"/>
    </row>
    <row r="15" spans="1:18" s="253" customFormat="1" x14ac:dyDescent="0.25">
      <c r="A15" s="310"/>
      <c r="B15" s="311" t="s">
        <v>302</v>
      </c>
      <c r="C15" s="312">
        <f>'Otras IA Tangibles'!E159</f>
        <v>100000</v>
      </c>
      <c r="D15" s="313"/>
      <c r="E15" s="313"/>
      <c r="F15" s="314"/>
      <c r="G15" s="493"/>
      <c r="I15" s="315" t="s">
        <v>302</v>
      </c>
      <c r="J15" s="316">
        <f t="shared" si="1"/>
        <v>100</v>
      </c>
      <c r="K15" s="317">
        <f t="shared" si="2"/>
        <v>0</v>
      </c>
      <c r="L15" s="317">
        <f t="shared" si="3"/>
        <v>0</v>
      </c>
      <c r="M15" s="317">
        <f t="shared" si="4"/>
        <v>0</v>
      </c>
      <c r="N15" s="493"/>
    </row>
    <row r="16" spans="1:18" s="253" customFormat="1" x14ac:dyDescent="0.25">
      <c r="A16" s="310"/>
      <c r="B16" s="311" t="s">
        <v>295</v>
      </c>
      <c r="C16" s="312">
        <f>'Otras IA Tangibles'!E179</f>
        <v>150000</v>
      </c>
      <c r="D16" s="313"/>
      <c r="E16" s="313"/>
      <c r="F16" s="314"/>
      <c r="G16" s="493"/>
      <c r="I16" s="315" t="s">
        <v>295</v>
      </c>
      <c r="J16" s="316">
        <f t="shared" si="1"/>
        <v>150</v>
      </c>
      <c r="K16" s="317">
        <f t="shared" si="2"/>
        <v>0</v>
      </c>
      <c r="L16" s="317">
        <f t="shared" si="3"/>
        <v>0</v>
      </c>
      <c r="M16" s="317">
        <f t="shared" si="4"/>
        <v>0</v>
      </c>
      <c r="N16" s="493"/>
    </row>
    <row r="17" spans="1:14" s="253" customFormat="1" x14ac:dyDescent="0.25">
      <c r="A17" s="310"/>
      <c r="B17" s="311" t="s">
        <v>303</v>
      </c>
      <c r="C17" s="312">
        <f>'Otras IA Tangibles'!E193</f>
        <v>50000</v>
      </c>
      <c r="D17" s="313"/>
      <c r="E17" s="313"/>
      <c r="F17" s="314"/>
      <c r="G17" s="493"/>
      <c r="I17" s="315" t="s">
        <v>303</v>
      </c>
      <c r="J17" s="316">
        <f t="shared" si="1"/>
        <v>50</v>
      </c>
      <c r="K17" s="317">
        <f t="shared" si="2"/>
        <v>0</v>
      </c>
      <c r="L17" s="317">
        <f t="shared" si="3"/>
        <v>0</v>
      </c>
      <c r="M17" s="317">
        <f t="shared" si="4"/>
        <v>0</v>
      </c>
      <c r="N17" s="493"/>
    </row>
    <row r="18" spans="1:14" s="253" customFormat="1" ht="15.75" thickBot="1" x14ac:dyDescent="0.3">
      <c r="A18" s="310"/>
      <c r="B18" s="311" t="s">
        <v>173</v>
      </c>
      <c r="C18" s="312">
        <f>'Otras IA Tangibles'!E167</f>
        <v>50000</v>
      </c>
      <c r="D18" s="313"/>
      <c r="E18" s="313"/>
      <c r="F18" s="314"/>
      <c r="G18" s="494"/>
      <c r="I18" s="315" t="s">
        <v>173</v>
      </c>
      <c r="J18" s="316">
        <f t="shared" si="1"/>
        <v>50</v>
      </c>
      <c r="K18" s="317">
        <f t="shared" si="2"/>
        <v>0</v>
      </c>
      <c r="L18" s="317">
        <f t="shared" si="3"/>
        <v>0</v>
      </c>
      <c r="M18" s="317">
        <f t="shared" si="4"/>
        <v>0</v>
      </c>
      <c r="N18" s="494"/>
    </row>
    <row r="19" spans="1:14" s="253" customFormat="1" x14ac:dyDescent="0.25">
      <c r="A19" s="310"/>
      <c r="B19" s="318" t="s">
        <v>174</v>
      </c>
      <c r="C19" s="319"/>
      <c r="D19" s="320">
        <f>'IA Intangibles'!F10+'IA Intangibles'!F11</f>
        <v>380000</v>
      </c>
      <c r="E19" s="321"/>
      <c r="F19" s="322"/>
      <c r="G19" s="492">
        <f>SUM(C19:F27)</f>
        <v>4160000</v>
      </c>
      <c r="I19" s="323" t="s">
        <v>174</v>
      </c>
      <c r="J19" s="325">
        <f t="shared" si="1"/>
        <v>0</v>
      </c>
      <c r="K19" s="324">
        <f t="shared" si="2"/>
        <v>380</v>
      </c>
      <c r="L19" s="325">
        <f t="shared" si="3"/>
        <v>0</v>
      </c>
      <c r="M19" s="325">
        <f t="shared" si="4"/>
        <v>0</v>
      </c>
      <c r="N19" s="492">
        <f>SUM(J19:M27)</f>
        <v>4160</v>
      </c>
    </row>
    <row r="20" spans="1:14" s="253" customFormat="1" x14ac:dyDescent="0.25">
      <c r="A20" s="310"/>
      <c r="B20" s="311" t="s">
        <v>176</v>
      </c>
      <c r="C20" s="326"/>
      <c r="D20" s="327">
        <f>'IA Intangibles'!F12</f>
        <v>570000</v>
      </c>
      <c r="E20" s="313"/>
      <c r="F20" s="314"/>
      <c r="G20" s="493"/>
      <c r="I20" s="315" t="s">
        <v>176</v>
      </c>
      <c r="J20" s="526">
        <f t="shared" si="1"/>
        <v>0</v>
      </c>
      <c r="K20" s="329">
        <f t="shared" si="2"/>
        <v>570</v>
      </c>
      <c r="L20" s="317">
        <f t="shared" si="3"/>
        <v>0</v>
      </c>
      <c r="M20" s="317">
        <f t="shared" si="4"/>
        <v>0</v>
      </c>
      <c r="N20" s="493"/>
    </row>
    <row r="21" spans="1:14" s="253" customFormat="1" x14ac:dyDescent="0.25">
      <c r="A21" s="310"/>
      <c r="B21" s="311" t="s">
        <v>761</v>
      </c>
      <c r="C21" s="326"/>
      <c r="D21" s="327">
        <f>'IA Intangibles'!E30+'IA Intangibles'!E20</f>
        <v>2150000</v>
      </c>
      <c r="E21" s="313"/>
      <c r="F21" s="314"/>
      <c r="G21" s="493"/>
      <c r="I21" s="315" t="s">
        <v>306</v>
      </c>
      <c r="J21" s="526">
        <f t="shared" si="1"/>
        <v>0</v>
      </c>
      <c r="K21" s="329">
        <f t="shared" si="2"/>
        <v>2150</v>
      </c>
      <c r="L21" s="317">
        <f t="shared" si="3"/>
        <v>0</v>
      </c>
      <c r="M21" s="317">
        <f t="shared" si="4"/>
        <v>0</v>
      </c>
      <c r="N21" s="493"/>
    </row>
    <row r="22" spans="1:14" s="253" customFormat="1" x14ac:dyDescent="0.25">
      <c r="A22" s="310"/>
      <c r="B22" s="311" t="s">
        <v>304</v>
      </c>
      <c r="C22" s="326"/>
      <c r="D22" s="327">
        <f>'IA Intangibles'!E57-'IA Intangibles'!I60</f>
        <v>120000</v>
      </c>
      <c r="E22" s="313"/>
      <c r="F22" s="314"/>
      <c r="G22" s="493"/>
      <c r="I22" s="315" t="s">
        <v>304</v>
      </c>
      <c r="J22" s="526">
        <f t="shared" si="1"/>
        <v>0</v>
      </c>
      <c r="K22" s="329">
        <f t="shared" si="2"/>
        <v>120</v>
      </c>
      <c r="L22" s="317">
        <f t="shared" si="3"/>
        <v>0</v>
      </c>
      <c r="M22" s="317">
        <f t="shared" si="4"/>
        <v>0</v>
      </c>
      <c r="N22" s="493"/>
    </row>
    <row r="23" spans="1:14" s="253" customFormat="1" x14ac:dyDescent="0.25">
      <c r="A23" s="310"/>
      <c r="B23" s="311" t="s">
        <v>178</v>
      </c>
      <c r="C23" s="326"/>
      <c r="D23" s="327">
        <f>'IA Intangibles'!I60</f>
        <v>80000</v>
      </c>
      <c r="E23" s="313"/>
      <c r="F23" s="314"/>
      <c r="G23" s="493"/>
      <c r="I23" s="315" t="s">
        <v>178</v>
      </c>
      <c r="J23" s="317">
        <f t="shared" si="1"/>
        <v>0</v>
      </c>
      <c r="K23" s="329">
        <f t="shared" si="2"/>
        <v>80</v>
      </c>
      <c r="L23" s="317">
        <f t="shared" si="3"/>
        <v>0</v>
      </c>
      <c r="M23" s="317">
        <f t="shared" si="4"/>
        <v>0</v>
      </c>
      <c r="N23" s="493"/>
    </row>
    <row r="24" spans="1:14" s="253" customFormat="1" x14ac:dyDescent="0.25">
      <c r="A24" s="310"/>
      <c r="B24" s="311" t="s">
        <v>177</v>
      </c>
      <c r="C24" s="326"/>
      <c r="D24" s="327">
        <f>'IA Intangibles'!E76</f>
        <v>200000</v>
      </c>
      <c r="E24" s="313"/>
      <c r="F24" s="314"/>
      <c r="G24" s="493"/>
      <c r="I24" s="315" t="s">
        <v>177</v>
      </c>
      <c r="J24" s="526">
        <f t="shared" si="1"/>
        <v>0</v>
      </c>
      <c r="K24" s="329">
        <f t="shared" si="2"/>
        <v>200</v>
      </c>
      <c r="L24" s="317">
        <f t="shared" si="3"/>
        <v>0</v>
      </c>
      <c r="M24" s="317">
        <f t="shared" si="4"/>
        <v>0</v>
      </c>
      <c r="N24" s="493"/>
    </row>
    <row r="25" spans="1:14" s="253" customFormat="1" x14ac:dyDescent="0.25">
      <c r="A25" s="310"/>
      <c r="B25" s="311" t="s">
        <v>280</v>
      </c>
      <c r="C25" s="330"/>
      <c r="D25" s="257">
        <f>'IA Intangibles'!E69</f>
        <v>100000</v>
      </c>
      <c r="E25" s="313"/>
      <c r="F25" s="314"/>
      <c r="G25" s="493"/>
      <c r="I25" s="315" t="s">
        <v>280</v>
      </c>
      <c r="J25" s="317">
        <f t="shared" si="1"/>
        <v>0</v>
      </c>
      <c r="K25" s="329">
        <f t="shared" si="2"/>
        <v>100</v>
      </c>
      <c r="L25" s="317">
        <f t="shared" si="3"/>
        <v>0</v>
      </c>
      <c r="M25" s="317">
        <f t="shared" si="4"/>
        <v>0</v>
      </c>
      <c r="N25" s="493"/>
    </row>
    <row r="26" spans="1:14" s="253" customFormat="1" x14ac:dyDescent="0.25">
      <c r="A26" s="310"/>
      <c r="B26" s="311" t="s">
        <v>286</v>
      </c>
      <c r="C26" s="330"/>
      <c r="D26" s="257">
        <f>'IA Intangibles'!E83</f>
        <v>100000</v>
      </c>
      <c r="E26" s="313"/>
      <c r="F26" s="314"/>
      <c r="G26" s="493"/>
      <c r="I26" s="315" t="s">
        <v>286</v>
      </c>
      <c r="J26" s="317">
        <f t="shared" ref="J26" si="5">C26/1000</f>
        <v>0</v>
      </c>
      <c r="K26" s="329">
        <f t="shared" ref="K26" si="6">D26/1000</f>
        <v>100</v>
      </c>
      <c r="L26" s="317">
        <f t="shared" ref="L26" si="7">E26/1000</f>
        <v>0</v>
      </c>
      <c r="M26" s="317">
        <f t="shared" ref="M26" si="8">F26/1000</f>
        <v>0</v>
      </c>
      <c r="N26" s="493"/>
    </row>
    <row r="27" spans="1:14" s="253" customFormat="1" ht="15.75" thickBot="1" x14ac:dyDescent="0.3">
      <c r="A27" s="310"/>
      <c r="B27" s="331" t="s">
        <v>175</v>
      </c>
      <c r="C27" s="332"/>
      <c r="D27" s="333">
        <f>'IA Intangibles'!E42</f>
        <v>460000</v>
      </c>
      <c r="E27" s="334"/>
      <c r="F27" s="335"/>
      <c r="G27" s="493"/>
      <c r="I27" s="336" t="s">
        <v>175</v>
      </c>
      <c r="J27" s="339">
        <f t="shared" si="1"/>
        <v>0</v>
      </c>
      <c r="K27" s="338">
        <f t="shared" si="2"/>
        <v>460</v>
      </c>
      <c r="L27" s="339">
        <f t="shared" si="3"/>
        <v>0</v>
      </c>
      <c r="M27" s="339">
        <f t="shared" si="4"/>
        <v>0</v>
      </c>
      <c r="N27" s="493"/>
    </row>
    <row r="28" spans="1:14" s="253" customFormat="1" x14ac:dyDescent="0.25">
      <c r="A28" s="310"/>
      <c r="B28" s="311" t="s">
        <v>179</v>
      </c>
      <c r="C28" s="326"/>
      <c r="D28" s="313"/>
      <c r="E28" s="327">
        <f>INA!E7</f>
        <v>135000</v>
      </c>
      <c r="F28" s="314"/>
      <c r="G28" s="492">
        <f>SUM(C28:F33)</f>
        <v>1300000</v>
      </c>
      <c r="I28" s="315" t="s">
        <v>179</v>
      </c>
      <c r="J28" s="328">
        <f t="shared" si="1"/>
        <v>0</v>
      </c>
      <c r="K28" s="317">
        <f t="shared" si="2"/>
        <v>0</v>
      </c>
      <c r="L28" s="329">
        <f t="shared" si="3"/>
        <v>135</v>
      </c>
      <c r="M28" s="317">
        <f t="shared" si="4"/>
        <v>0</v>
      </c>
      <c r="N28" s="492">
        <f>SUM(J28:M33)</f>
        <v>1300</v>
      </c>
    </row>
    <row r="29" spans="1:14" s="253" customFormat="1" x14ac:dyDescent="0.25">
      <c r="A29" s="310"/>
      <c r="B29" s="311" t="s">
        <v>180</v>
      </c>
      <c r="C29" s="326"/>
      <c r="D29" s="313"/>
      <c r="E29" s="327">
        <f>INA!E14</f>
        <v>80000</v>
      </c>
      <c r="F29" s="314"/>
      <c r="G29" s="493"/>
      <c r="I29" s="315" t="s">
        <v>180</v>
      </c>
      <c r="J29" s="328">
        <f t="shared" si="1"/>
        <v>0</v>
      </c>
      <c r="K29" s="317">
        <f t="shared" si="2"/>
        <v>0</v>
      </c>
      <c r="L29" s="329">
        <f t="shared" si="3"/>
        <v>80</v>
      </c>
      <c r="M29" s="317">
        <f t="shared" si="4"/>
        <v>0</v>
      </c>
      <c r="N29" s="493"/>
    </row>
    <row r="30" spans="1:14" s="253" customFormat="1" x14ac:dyDescent="0.25">
      <c r="A30" s="310"/>
      <c r="B30" s="311" t="s">
        <v>760</v>
      </c>
      <c r="C30" s="326"/>
      <c r="D30" s="313"/>
      <c r="E30" s="327">
        <f>INA!E22</f>
        <v>5000</v>
      </c>
      <c r="F30" s="314"/>
      <c r="G30" s="493"/>
      <c r="I30" s="315" t="s">
        <v>181</v>
      </c>
      <c r="J30" s="328">
        <f t="shared" si="1"/>
        <v>0</v>
      </c>
      <c r="K30" s="317">
        <f t="shared" si="2"/>
        <v>0</v>
      </c>
      <c r="L30" s="329">
        <f t="shared" si="3"/>
        <v>5</v>
      </c>
      <c r="M30" s="317">
        <f t="shared" si="4"/>
        <v>0</v>
      </c>
      <c r="N30" s="493"/>
    </row>
    <row r="31" spans="1:14" s="253" customFormat="1" x14ac:dyDescent="0.25">
      <c r="A31" s="310"/>
      <c r="B31" s="311" t="s">
        <v>182</v>
      </c>
      <c r="C31" s="326"/>
      <c r="D31" s="313"/>
      <c r="E31" s="327">
        <f>INA!E29</f>
        <v>80000</v>
      </c>
      <c r="F31" s="314"/>
      <c r="G31" s="493"/>
      <c r="I31" s="315" t="s">
        <v>182</v>
      </c>
      <c r="J31" s="328">
        <f t="shared" si="1"/>
        <v>0</v>
      </c>
      <c r="K31" s="317">
        <f t="shared" si="2"/>
        <v>0</v>
      </c>
      <c r="L31" s="329">
        <f t="shared" si="3"/>
        <v>80</v>
      </c>
      <c r="M31" s="317">
        <f t="shared" si="4"/>
        <v>0</v>
      </c>
      <c r="N31" s="493"/>
    </row>
    <row r="32" spans="1:14" s="253" customFormat="1" x14ac:dyDescent="0.25">
      <c r="A32" s="310"/>
      <c r="B32" s="311" t="s">
        <v>183</v>
      </c>
      <c r="C32" s="326"/>
      <c r="D32" s="313"/>
      <c r="E32" s="327">
        <f>INA!E37</f>
        <v>500000</v>
      </c>
      <c r="F32" s="314"/>
      <c r="G32" s="493"/>
      <c r="I32" s="315" t="s">
        <v>183</v>
      </c>
      <c r="J32" s="328">
        <f t="shared" si="1"/>
        <v>0</v>
      </c>
      <c r="K32" s="317">
        <f t="shared" si="2"/>
        <v>0</v>
      </c>
      <c r="L32" s="329">
        <f t="shared" si="3"/>
        <v>500</v>
      </c>
      <c r="M32" s="317">
        <f t="shared" si="4"/>
        <v>0</v>
      </c>
      <c r="N32" s="493"/>
    </row>
    <row r="33" spans="1:14" s="253" customFormat="1" ht="15.75" thickBot="1" x14ac:dyDescent="0.3">
      <c r="A33" s="310"/>
      <c r="B33" s="331" t="s">
        <v>184</v>
      </c>
      <c r="C33" s="332"/>
      <c r="D33" s="334"/>
      <c r="E33" s="333">
        <f>INA!E45</f>
        <v>500000</v>
      </c>
      <c r="F33" s="335"/>
      <c r="G33" s="494"/>
      <c r="I33" s="336" t="s">
        <v>184</v>
      </c>
      <c r="J33" s="337">
        <f t="shared" si="1"/>
        <v>0</v>
      </c>
      <c r="K33" s="339">
        <f t="shared" si="2"/>
        <v>0</v>
      </c>
      <c r="L33" s="338">
        <f t="shared" si="3"/>
        <v>500</v>
      </c>
      <c r="M33" s="339">
        <f t="shared" si="4"/>
        <v>0</v>
      </c>
      <c r="N33" s="493"/>
    </row>
    <row r="34" spans="1:14" s="253" customFormat="1" ht="15.75" thickBot="1" x14ac:dyDescent="0.3">
      <c r="B34" s="300" t="s">
        <v>305</v>
      </c>
      <c r="C34" s="340"/>
      <c r="D34" s="341">
        <f>'IA Intangibles'!E90</f>
        <v>1500000</v>
      </c>
      <c r="E34" s="342"/>
      <c r="F34" s="343"/>
      <c r="G34" s="304">
        <f>SUM(C34:F34)</f>
        <v>1500000</v>
      </c>
      <c r="I34" s="305" t="s">
        <v>305</v>
      </c>
      <c r="J34" s="344">
        <f t="shared" si="1"/>
        <v>0</v>
      </c>
      <c r="K34" s="345">
        <f t="shared" si="2"/>
        <v>1500</v>
      </c>
      <c r="L34" s="345">
        <f t="shared" si="3"/>
        <v>0</v>
      </c>
      <c r="M34" s="346">
        <f t="shared" si="4"/>
        <v>0</v>
      </c>
      <c r="N34" s="347">
        <f>SUM(J34:M34)</f>
        <v>1500</v>
      </c>
    </row>
    <row r="35" spans="1:14" s="253" customFormat="1" ht="15.75" thickBot="1" x14ac:dyDescent="0.3">
      <c r="C35" s="348">
        <f>SUM(C5:C34)</f>
        <v>10825971</v>
      </c>
      <c r="D35" s="349">
        <f>SUM(D5:D34)</f>
        <v>5660000</v>
      </c>
      <c r="E35" s="349">
        <f>SUM(E5:E34)</f>
        <v>1300000</v>
      </c>
      <c r="F35" s="350">
        <f>SUM(F5:F34)</f>
        <v>170000</v>
      </c>
      <c r="G35" s="304">
        <f>SUM(G5:G34)</f>
        <v>17955971</v>
      </c>
      <c r="J35" s="351">
        <f t="shared" si="1"/>
        <v>10825.971</v>
      </c>
      <c r="K35" s="352">
        <f t="shared" si="2"/>
        <v>5660</v>
      </c>
      <c r="L35" s="352">
        <f t="shared" si="3"/>
        <v>1300</v>
      </c>
      <c r="M35" s="309">
        <f t="shared" si="4"/>
        <v>170</v>
      </c>
      <c r="N35" s="347">
        <f>SUM(N5:N34)</f>
        <v>17955.970999999998</v>
      </c>
    </row>
    <row r="36" spans="1:14" s="253" customFormat="1" x14ac:dyDescent="0.25">
      <c r="D36" s="257"/>
    </row>
    <row r="80" s="61" customFormat="1" ht="15.75" thickBot="1" x14ac:dyDescent="0.3"/>
    <row r="82" spans="1:18" x14ac:dyDescent="0.25">
      <c r="A82" s="56" t="s">
        <v>536</v>
      </c>
      <c r="B82" s="56"/>
    </row>
    <row r="83" spans="1:18" ht="15.75" thickBot="1" x14ac:dyDescent="0.3"/>
    <row r="84" spans="1:18" ht="45.75" thickBot="1" x14ac:dyDescent="0.3">
      <c r="B84" s="32" t="s">
        <v>6</v>
      </c>
      <c r="C84" s="32" t="s">
        <v>165</v>
      </c>
      <c r="D84" s="33" t="s">
        <v>166</v>
      </c>
      <c r="E84" s="33" t="s">
        <v>167</v>
      </c>
      <c r="F84" s="39" t="s">
        <v>168</v>
      </c>
      <c r="G84" s="34" t="s">
        <v>169</v>
      </c>
      <c r="I84" s="34" t="s">
        <v>307</v>
      </c>
      <c r="J84" s="51" t="s">
        <v>165</v>
      </c>
      <c r="K84" s="52" t="s">
        <v>166</v>
      </c>
      <c r="L84" s="52" t="s">
        <v>167</v>
      </c>
      <c r="M84" s="52" t="s">
        <v>168</v>
      </c>
      <c r="N84" s="53" t="s">
        <v>169</v>
      </c>
    </row>
    <row r="85" spans="1:18" ht="15.75" thickBot="1" x14ac:dyDescent="0.3">
      <c r="B85" s="9" t="s">
        <v>168</v>
      </c>
      <c r="C85" s="65"/>
      <c r="D85" s="66"/>
      <c r="E85" s="66"/>
      <c r="F85" s="10">
        <f>F5</f>
        <v>170000</v>
      </c>
      <c r="G85" s="42">
        <f>SUM(C85:F85)</f>
        <v>170000</v>
      </c>
      <c r="I85" s="48" t="s">
        <v>168</v>
      </c>
      <c r="J85" s="17">
        <f>C85/1000</f>
        <v>0</v>
      </c>
      <c r="K85" s="18">
        <f t="shared" ref="K85:K117" si="9">D85/1000</f>
        <v>0</v>
      </c>
      <c r="L85" s="18">
        <f t="shared" ref="L85:L117" si="10">E85/1000</f>
        <v>0</v>
      </c>
      <c r="M85" s="19">
        <f t="shared" ref="M85:M117" si="11">F85/1000</f>
        <v>170</v>
      </c>
      <c r="N85" s="47">
        <f t="shared" ref="N85" si="12">G85/1000</f>
        <v>170</v>
      </c>
    </row>
    <row r="86" spans="1:18" x14ac:dyDescent="0.25">
      <c r="A86" s="88"/>
      <c r="B86" s="35" t="s">
        <v>170</v>
      </c>
      <c r="C86" s="12">
        <f>C6</f>
        <v>400000</v>
      </c>
      <c r="D86" s="67"/>
      <c r="E86" s="67"/>
      <c r="F86" s="68"/>
      <c r="G86" s="489">
        <f>SUM(C86:F98)</f>
        <v>10825971</v>
      </c>
      <c r="I86" s="37" t="s">
        <v>170</v>
      </c>
      <c r="J86" s="20">
        <f t="shared" ref="J86:J117" si="13">C86/1000</f>
        <v>400</v>
      </c>
      <c r="K86" s="21">
        <f t="shared" si="9"/>
        <v>0</v>
      </c>
      <c r="L86" s="21">
        <f t="shared" si="10"/>
        <v>0</v>
      </c>
      <c r="M86" s="21">
        <f t="shared" si="11"/>
        <v>0</v>
      </c>
      <c r="N86" s="489">
        <f>SUM(J86:M98)</f>
        <v>10825.971</v>
      </c>
      <c r="Q86" t="str">
        <f>B85</f>
        <v>Terreno</v>
      </c>
      <c r="R86" s="5">
        <f>G85</f>
        <v>170000</v>
      </c>
    </row>
    <row r="87" spans="1:18" x14ac:dyDescent="0.25">
      <c r="A87" s="88"/>
      <c r="B87" s="35" t="s">
        <v>189</v>
      </c>
      <c r="C87" s="12">
        <f>C7</f>
        <v>1300000</v>
      </c>
      <c r="D87" s="67"/>
      <c r="E87" s="67"/>
      <c r="F87" s="68"/>
      <c r="G87" s="490"/>
      <c r="I87" s="37" t="s">
        <v>189</v>
      </c>
      <c r="J87" s="20">
        <f t="shared" si="13"/>
        <v>1300</v>
      </c>
      <c r="K87" s="21">
        <f t="shared" si="9"/>
        <v>0</v>
      </c>
      <c r="L87" s="21">
        <f t="shared" si="10"/>
        <v>0</v>
      </c>
      <c r="M87" s="21">
        <f t="shared" si="11"/>
        <v>0</v>
      </c>
      <c r="N87" s="490"/>
      <c r="Q87" t="str">
        <f>C84</f>
        <v>Inversiones amortizables tangibles</v>
      </c>
      <c r="R87" s="5">
        <f>G86</f>
        <v>10825971</v>
      </c>
    </row>
    <row r="88" spans="1:18" x14ac:dyDescent="0.25">
      <c r="A88" s="88"/>
      <c r="B88" s="35" t="s">
        <v>300</v>
      </c>
      <c r="C88" s="12">
        <f>C8</f>
        <v>3365971</v>
      </c>
      <c r="D88" s="67"/>
      <c r="E88" s="67"/>
      <c r="F88" s="68"/>
      <c r="G88" s="490"/>
      <c r="I88" s="37" t="s">
        <v>300</v>
      </c>
      <c r="J88" s="20">
        <f t="shared" si="13"/>
        <v>3365.971</v>
      </c>
      <c r="K88" s="21">
        <f t="shared" si="9"/>
        <v>0</v>
      </c>
      <c r="L88" s="21">
        <f t="shared" si="10"/>
        <v>0</v>
      </c>
      <c r="M88" s="21">
        <f t="shared" si="11"/>
        <v>0</v>
      </c>
      <c r="N88" s="490"/>
      <c r="Q88" t="str">
        <f>D84</f>
        <v>Inversiones amortizables intangibles</v>
      </c>
      <c r="R88" s="5">
        <f>G99</f>
        <v>4888810.7820000006</v>
      </c>
    </row>
    <row r="89" spans="1:18" x14ac:dyDescent="0.25">
      <c r="A89" s="88"/>
      <c r="B89" s="35" t="s">
        <v>219</v>
      </c>
      <c r="C89" s="12">
        <f>C9</f>
        <v>1900000</v>
      </c>
      <c r="D89" s="67"/>
      <c r="E89" s="67"/>
      <c r="F89" s="68"/>
      <c r="G89" s="490"/>
      <c r="I89" s="37" t="s">
        <v>219</v>
      </c>
      <c r="J89" s="20">
        <f t="shared" si="13"/>
        <v>1900</v>
      </c>
      <c r="K89" s="21">
        <f t="shared" si="9"/>
        <v>0</v>
      </c>
      <c r="L89" s="21">
        <f t="shared" si="10"/>
        <v>0</v>
      </c>
      <c r="M89" s="21">
        <f t="shared" si="11"/>
        <v>0</v>
      </c>
      <c r="N89" s="490"/>
      <c r="Q89" t="str">
        <f>E84</f>
        <v>Inversiones no amortizables</v>
      </c>
      <c r="R89" s="5">
        <f>G110</f>
        <v>1300000</v>
      </c>
    </row>
    <row r="90" spans="1:18" x14ac:dyDescent="0.25">
      <c r="A90" s="88"/>
      <c r="B90" s="35" t="s">
        <v>208</v>
      </c>
      <c r="C90" s="12">
        <f>C10</f>
        <v>750000</v>
      </c>
      <c r="D90" s="67"/>
      <c r="E90" s="67"/>
      <c r="F90" s="68"/>
      <c r="G90" s="490"/>
      <c r="I90" s="37" t="s">
        <v>208</v>
      </c>
      <c r="J90" s="20">
        <f t="shared" si="13"/>
        <v>750</v>
      </c>
      <c r="K90" s="21">
        <f t="shared" si="9"/>
        <v>0</v>
      </c>
      <c r="L90" s="21">
        <f t="shared" si="10"/>
        <v>0</v>
      </c>
      <c r="M90" s="21">
        <f t="shared" si="11"/>
        <v>0</v>
      </c>
      <c r="N90" s="490"/>
      <c r="Q90" t="str">
        <f>B116</f>
        <v>Ajustes/Imprevistos</v>
      </c>
      <c r="R90" s="5">
        <f>G116</f>
        <v>1500000</v>
      </c>
    </row>
    <row r="91" spans="1:18" x14ac:dyDescent="0.25">
      <c r="A91" s="88"/>
      <c r="B91" s="35" t="s">
        <v>214</v>
      </c>
      <c r="C91" s="12">
        <f>C11</f>
        <v>2000000</v>
      </c>
      <c r="D91" s="67"/>
      <c r="E91" s="67"/>
      <c r="F91" s="68"/>
      <c r="G91" s="490"/>
      <c r="I91" s="37" t="s">
        <v>214</v>
      </c>
      <c r="J91" s="20">
        <f t="shared" si="13"/>
        <v>2000</v>
      </c>
      <c r="K91" s="21">
        <f t="shared" si="9"/>
        <v>0</v>
      </c>
      <c r="L91" s="21">
        <f t="shared" si="10"/>
        <v>0</v>
      </c>
      <c r="M91" s="21">
        <f t="shared" si="11"/>
        <v>0</v>
      </c>
      <c r="N91" s="490"/>
    </row>
    <row r="92" spans="1:18" x14ac:dyDescent="0.25">
      <c r="A92" s="88"/>
      <c r="B92" s="35" t="s">
        <v>216</v>
      </c>
      <c r="C92" s="12">
        <f>C12</f>
        <v>500000</v>
      </c>
      <c r="D92" s="67"/>
      <c r="E92" s="67"/>
      <c r="F92" s="68"/>
      <c r="G92" s="490"/>
      <c r="I92" s="37" t="s">
        <v>216</v>
      </c>
      <c r="J92" s="20">
        <f t="shared" si="13"/>
        <v>500</v>
      </c>
      <c r="K92" s="21">
        <f t="shared" si="9"/>
        <v>0</v>
      </c>
      <c r="L92" s="21">
        <f t="shared" si="10"/>
        <v>0</v>
      </c>
      <c r="M92" s="21">
        <f t="shared" si="11"/>
        <v>0</v>
      </c>
      <c r="N92" s="490"/>
    </row>
    <row r="93" spans="1:18" x14ac:dyDescent="0.25">
      <c r="A93" s="88"/>
      <c r="B93" s="35" t="s">
        <v>217</v>
      </c>
      <c r="C93" s="12">
        <f>C13</f>
        <v>240000</v>
      </c>
      <c r="D93" s="67"/>
      <c r="E93" s="67"/>
      <c r="F93" s="68"/>
      <c r="G93" s="490"/>
      <c r="I93" s="37" t="s">
        <v>217</v>
      </c>
      <c r="J93" s="20">
        <f t="shared" si="13"/>
        <v>240</v>
      </c>
      <c r="K93" s="21">
        <f t="shared" si="9"/>
        <v>0</v>
      </c>
      <c r="L93" s="21">
        <f t="shared" si="10"/>
        <v>0</v>
      </c>
      <c r="M93" s="21">
        <f t="shared" si="11"/>
        <v>0</v>
      </c>
      <c r="N93" s="490"/>
    </row>
    <row r="94" spans="1:18" x14ac:dyDescent="0.25">
      <c r="A94" s="88"/>
      <c r="B94" s="35" t="s">
        <v>172</v>
      </c>
      <c r="C94" s="12">
        <f>C14</f>
        <v>20000</v>
      </c>
      <c r="D94" s="67"/>
      <c r="E94" s="67"/>
      <c r="F94" s="68"/>
      <c r="G94" s="490"/>
      <c r="I94" s="37" t="s">
        <v>172</v>
      </c>
      <c r="J94" s="20">
        <f t="shared" si="13"/>
        <v>20</v>
      </c>
      <c r="K94" s="21">
        <f t="shared" si="9"/>
        <v>0</v>
      </c>
      <c r="L94" s="21">
        <f t="shared" si="10"/>
        <v>0</v>
      </c>
      <c r="M94" s="21">
        <f t="shared" si="11"/>
        <v>0</v>
      </c>
      <c r="N94" s="490"/>
    </row>
    <row r="95" spans="1:18" x14ac:dyDescent="0.25">
      <c r="A95" s="88"/>
      <c r="B95" s="35" t="s">
        <v>302</v>
      </c>
      <c r="C95" s="12">
        <f>C15</f>
        <v>100000</v>
      </c>
      <c r="D95" s="67"/>
      <c r="E95" s="67"/>
      <c r="F95" s="68"/>
      <c r="G95" s="490"/>
      <c r="I95" s="37" t="s">
        <v>302</v>
      </c>
      <c r="J95" s="20">
        <f t="shared" si="13"/>
        <v>100</v>
      </c>
      <c r="K95" s="21">
        <f t="shared" si="9"/>
        <v>0</v>
      </c>
      <c r="L95" s="21">
        <f t="shared" si="10"/>
        <v>0</v>
      </c>
      <c r="M95" s="21">
        <f t="shared" si="11"/>
        <v>0</v>
      </c>
      <c r="N95" s="490"/>
    </row>
    <row r="96" spans="1:18" x14ac:dyDescent="0.25">
      <c r="A96" s="88"/>
      <c r="B96" s="35" t="s">
        <v>295</v>
      </c>
      <c r="C96" s="12">
        <f>C16</f>
        <v>150000</v>
      </c>
      <c r="D96" s="67"/>
      <c r="E96" s="67"/>
      <c r="F96" s="68"/>
      <c r="G96" s="490"/>
      <c r="I96" s="37" t="s">
        <v>295</v>
      </c>
      <c r="J96" s="20">
        <f t="shared" si="13"/>
        <v>150</v>
      </c>
      <c r="K96" s="21">
        <f t="shared" si="9"/>
        <v>0</v>
      </c>
      <c r="L96" s="21">
        <f t="shared" si="10"/>
        <v>0</v>
      </c>
      <c r="M96" s="21">
        <f t="shared" si="11"/>
        <v>0</v>
      </c>
      <c r="N96" s="490"/>
    </row>
    <row r="97" spans="1:14" x14ac:dyDescent="0.25">
      <c r="A97" s="88"/>
      <c r="B97" s="35" t="s">
        <v>303</v>
      </c>
      <c r="C97" s="12">
        <f>C17</f>
        <v>50000</v>
      </c>
      <c r="D97" s="67"/>
      <c r="E97" s="67"/>
      <c r="F97" s="68"/>
      <c r="G97" s="490"/>
      <c r="I97" s="37" t="s">
        <v>303</v>
      </c>
      <c r="J97" s="20">
        <f t="shared" si="13"/>
        <v>50</v>
      </c>
      <c r="K97" s="21">
        <f t="shared" si="9"/>
        <v>0</v>
      </c>
      <c r="L97" s="21">
        <f t="shared" si="10"/>
        <v>0</v>
      </c>
      <c r="M97" s="21">
        <f t="shared" si="11"/>
        <v>0</v>
      </c>
      <c r="N97" s="490"/>
    </row>
    <row r="98" spans="1:14" ht="15.75" thickBot="1" x14ac:dyDescent="0.3">
      <c r="A98" s="88"/>
      <c r="B98" s="35" t="s">
        <v>173</v>
      </c>
      <c r="C98" s="12">
        <f>C18</f>
        <v>50000</v>
      </c>
      <c r="D98" s="75"/>
      <c r="E98" s="67"/>
      <c r="F98" s="68"/>
      <c r="G98" s="491"/>
      <c r="I98" s="37" t="s">
        <v>173</v>
      </c>
      <c r="J98" s="20">
        <f t="shared" si="13"/>
        <v>50</v>
      </c>
      <c r="K98" s="21">
        <f t="shared" si="9"/>
        <v>0</v>
      </c>
      <c r="L98" s="21">
        <f t="shared" si="10"/>
        <v>0</v>
      </c>
      <c r="M98" s="21">
        <f t="shared" si="11"/>
        <v>0</v>
      </c>
      <c r="N98" s="491"/>
    </row>
    <row r="99" spans="1:14" x14ac:dyDescent="0.25">
      <c r="A99" s="88"/>
      <c r="B99" s="36" t="s">
        <v>174</v>
      </c>
      <c r="C99" s="69"/>
      <c r="D99" s="532">
        <f>D19</f>
        <v>380000</v>
      </c>
      <c r="E99" s="73"/>
      <c r="F99" s="74"/>
      <c r="G99" s="487">
        <f>SUM(C99:F109)</f>
        <v>4888810.7820000006</v>
      </c>
      <c r="I99" s="49" t="s">
        <v>174</v>
      </c>
      <c r="J99" s="22">
        <f t="shared" si="13"/>
        <v>0</v>
      </c>
      <c r="K99" s="23">
        <f t="shared" si="9"/>
        <v>380</v>
      </c>
      <c r="L99" s="24">
        <f t="shared" si="10"/>
        <v>0</v>
      </c>
      <c r="M99" s="91">
        <f t="shared" si="11"/>
        <v>0</v>
      </c>
      <c r="N99" s="487">
        <f>SUM(J99:M109)</f>
        <v>4888.8107820000005</v>
      </c>
    </row>
    <row r="100" spans="1:14" x14ac:dyDescent="0.25">
      <c r="A100" s="88"/>
      <c r="B100" s="35" t="s">
        <v>176</v>
      </c>
      <c r="C100" s="70"/>
      <c r="D100" s="532">
        <f t="shared" ref="D100:D107" si="14">D20</f>
        <v>570000</v>
      </c>
      <c r="E100" s="67"/>
      <c r="F100" s="68"/>
      <c r="G100" s="488"/>
      <c r="I100" s="37" t="s">
        <v>176</v>
      </c>
      <c r="J100" s="25">
        <f t="shared" si="13"/>
        <v>0</v>
      </c>
      <c r="K100" s="26">
        <f t="shared" si="9"/>
        <v>570</v>
      </c>
      <c r="L100" s="21">
        <f t="shared" si="10"/>
        <v>0</v>
      </c>
      <c r="M100" s="92">
        <f t="shared" si="11"/>
        <v>0</v>
      </c>
      <c r="N100" s="488"/>
    </row>
    <row r="101" spans="1:14" x14ac:dyDescent="0.25">
      <c r="A101" s="88"/>
      <c r="B101" s="35" t="s">
        <v>306</v>
      </c>
      <c r="C101" s="70"/>
      <c r="D101" s="532">
        <f t="shared" si="14"/>
        <v>2150000</v>
      </c>
      <c r="E101" s="67"/>
      <c r="F101" s="68"/>
      <c r="G101" s="488"/>
      <c r="I101" s="37" t="s">
        <v>306</v>
      </c>
      <c r="J101" s="25">
        <f t="shared" si="13"/>
        <v>0</v>
      </c>
      <c r="K101" s="26">
        <f t="shared" si="9"/>
        <v>2150</v>
      </c>
      <c r="L101" s="21">
        <f t="shared" si="10"/>
        <v>0</v>
      </c>
      <c r="M101" s="92">
        <f t="shared" si="11"/>
        <v>0</v>
      </c>
      <c r="N101" s="488"/>
    </row>
    <row r="102" spans="1:14" x14ac:dyDescent="0.25">
      <c r="A102" s="88"/>
      <c r="B102" s="35" t="s">
        <v>304</v>
      </c>
      <c r="C102" s="70"/>
      <c r="D102" s="532">
        <f t="shared" si="14"/>
        <v>120000</v>
      </c>
      <c r="E102" s="67"/>
      <c r="F102" s="68"/>
      <c r="G102" s="488"/>
      <c r="I102" s="37" t="s">
        <v>304</v>
      </c>
      <c r="J102" s="25">
        <f t="shared" si="13"/>
        <v>0</v>
      </c>
      <c r="K102" s="26">
        <f t="shared" si="9"/>
        <v>120</v>
      </c>
      <c r="L102" s="21">
        <f t="shared" si="10"/>
        <v>0</v>
      </c>
      <c r="M102" s="92">
        <f t="shared" si="11"/>
        <v>0</v>
      </c>
      <c r="N102" s="488"/>
    </row>
    <row r="103" spans="1:14" x14ac:dyDescent="0.25">
      <c r="A103" s="88"/>
      <c r="B103" s="35" t="s">
        <v>178</v>
      </c>
      <c r="C103" s="70"/>
      <c r="D103" s="532">
        <f t="shared" si="14"/>
        <v>80000</v>
      </c>
      <c r="E103" s="67"/>
      <c r="F103" s="68"/>
      <c r="G103" s="488"/>
      <c r="I103" s="37" t="s">
        <v>178</v>
      </c>
      <c r="J103" s="25">
        <f t="shared" si="13"/>
        <v>0</v>
      </c>
      <c r="K103" s="26">
        <f t="shared" si="9"/>
        <v>80</v>
      </c>
      <c r="L103" s="21">
        <f t="shared" si="10"/>
        <v>0</v>
      </c>
      <c r="M103" s="92">
        <f t="shared" si="11"/>
        <v>0</v>
      </c>
      <c r="N103" s="488"/>
    </row>
    <row r="104" spans="1:14" x14ac:dyDescent="0.25">
      <c r="A104" s="88"/>
      <c r="B104" s="35" t="s">
        <v>177</v>
      </c>
      <c r="C104" s="70"/>
      <c r="D104" s="532">
        <f t="shared" si="14"/>
        <v>200000</v>
      </c>
      <c r="E104" s="67"/>
      <c r="F104" s="68"/>
      <c r="G104" s="488"/>
      <c r="I104" s="37" t="s">
        <v>177</v>
      </c>
      <c r="J104" s="25">
        <f t="shared" si="13"/>
        <v>0</v>
      </c>
      <c r="K104" s="26">
        <f t="shared" si="9"/>
        <v>200</v>
      </c>
      <c r="L104" s="21">
        <f t="shared" si="10"/>
        <v>0</v>
      </c>
      <c r="M104" s="92">
        <f t="shared" si="11"/>
        <v>0</v>
      </c>
      <c r="N104" s="488"/>
    </row>
    <row r="105" spans="1:14" x14ac:dyDescent="0.25">
      <c r="A105" s="88"/>
      <c r="B105" s="35" t="s">
        <v>280</v>
      </c>
      <c r="C105" s="71"/>
      <c r="D105" s="532">
        <f t="shared" si="14"/>
        <v>100000</v>
      </c>
      <c r="E105" s="67"/>
      <c r="F105" s="68"/>
      <c r="G105" s="488"/>
      <c r="I105" s="37" t="s">
        <v>280</v>
      </c>
      <c r="J105" s="25">
        <f t="shared" si="13"/>
        <v>0</v>
      </c>
      <c r="K105" s="26">
        <f t="shared" si="9"/>
        <v>100</v>
      </c>
      <c r="L105" s="21">
        <f t="shared" si="10"/>
        <v>0</v>
      </c>
      <c r="M105" s="92">
        <f t="shared" si="11"/>
        <v>0</v>
      </c>
      <c r="N105" s="488"/>
    </row>
    <row r="106" spans="1:14" x14ac:dyDescent="0.25">
      <c r="A106" s="88"/>
      <c r="B106" s="311" t="s">
        <v>286</v>
      </c>
      <c r="C106" s="71"/>
      <c r="D106" s="532">
        <f t="shared" si="14"/>
        <v>100000</v>
      </c>
      <c r="E106" s="67"/>
      <c r="F106" s="68"/>
      <c r="G106" s="488"/>
      <c r="I106" s="311" t="s">
        <v>286</v>
      </c>
      <c r="J106" s="25">
        <f t="shared" ref="J106" si="15">C106/1000</f>
        <v>0</v>
      </c>
      <c r="K106" s="26">
        <f t="shared" ref="K106" si="16">D106/1000</f>
        <v>100</v>
      </c>
      <c r="L106" s="21">
        <f t="shared" ref="L106" si="17">E106/1000</f>
        <v>0</v>
      </c>
      <c r="M106" s="92">
        <f t="shared" ref="M106" si="18">F106/1000</f>
        <v>0</v>
      </c>
      <c r="N106" s="488"/>
    </row>
    <row r="107" spans="1:14" x14ac:dyDescent="0.25">
      <c r="A107" s="88"/>
      <c r="B107" s="35" t="s">
        <v>175</v>
      </c>
      <c r="C107" s="71"/>
      <c r="D107" s="532">
        <f t="shared" si="14"/>
        <v>460000</v>
      </c>
      <c r="E107" s="67"/>
      <c r="F107" s="68"/>
      <c r="G107" s="488"/>
      <c r="I107" s="37" t="s">
        <v>175</v>
      </c>
      <c r="J107" s="25">
        <f t="shared" ref="J107:J109" si="19">C107/1000</f>
        <v>0</v>
      </c>
      <c r="K107" s="26">
        <f t="shared" ref="K107:K109" si="20">D107/1000</f>
        <v>460</v>
      </c>
      <c r="L107" s="21">
        <f t="shared" ref="L107:L109" si="21">E107/1000</f>
        <v>0</v>
      </c>
      <c r="M107" s="92">
        <f t="shared" ref="M107:M109" si="22">F107/1000</f>
        <v>0</v>
      </c>
      <c r="N107" s="488"/>
    </row>
    <row r="108" spans="1:14" x14ac:dyDescent="0.25">
      <c r="A108" s="88"/>
      <c r="B108" s="403" t="s">
        <v>537</v>
      </c>
      <c r="C108" s="71"/>
      <c r="D108" s="400">
        <f>Préstamo!E8*Préstamo!E4</f>
        <v>104115.826</v>
      </c>
      <c r="E108" s="67"/>
      <c r="F108" s="68"/>
      <c r="G108" s="488"/>
      <c r="I108" s="408" t="s">
        <v>537</v>
      </c>
      <c r="J108" s="25">
        <f t="shared" si="19"/>
        <v>0</v>
      </c>
      <c r="K108" s="410">
        <f t="shared" si="20"/>
        <v>104.115826</v>
      </c>
      <c r="L108" s="21">
        <f t="shared" si="21"/>
        <v>0</v>
      </c>
      <c r="M108" s="92">
        <f t="shared" si="22"/>
        <v>0</v>
      </c>
      <c r="N108" s="488"/>
    </row>
    <row r="109" spans="1:14" ht="15.75" thickBot="1" x14ac:dyDescent="0.3">
      <c r="A109" s="88"/>
      <c r="B109" s="404" t="s">
        <v>538</v>
      </c>
      <c r="C109" s="72"/>
      <c r="D109" s="405">
        <f>Préstamo!E11</f>
        <v>624694.95600000001</v>
      </c>
      <c r="E109" s="75"/>
      <c r="F109" s="76"/>
      <c r="G109" s="488"/>
      <c r="I109" s="409" t="s">
        <v>538</v>
      </c>
      <c r="J109" s="27">
        <f t="shared" si="19"/>
        <v>0</v>
      </c>
      <c r="K109" s="411">
        <f t="shared" si="20"/>
        <v>624.69495600000005</v>
      </c>
      <c r="L109" s="29">
        <f t="shared" si="21"/>
        <v>0</v>
      </c>
      <c r="M109" s="93">
        <f t="shared" si="22"/>
        <v>0</v>
      </c>
      <c r="N109" s="488"/>
    </row>
    <row r="110" spans="1:14" x14ac:dyDescent="0.25">
      <c r="A110" s="88"/>
      <c r="B110" s="35" t="s">
        <v>179</v>
      </c>
      <c r="C110" s="70"/>
      <c r="D110" s="67"/>
      <c r="E110" s="15">
        <f>E28</f>
        <v>135000</v>
      </c>
      <c r="F110" s="68"/>
      <c r="G110" s="489">
        <f>SUM(C110:F115)</f>
        <v>1300000</v>
      </c>
      <c r="I110" s="37" t="s">
        <v>179</v>
      </c>
      <c r="J110" s="25">
        <f t="shared" si="13"/>
        <v>0</v>
      </c>
      <c r="K110" s="21">
        <f t="shared" si="9"/>
        <v>0</v>
      </c>
      <c r="L110" s="26">
        <f t="shared" si="10"/>
        <v>135</v>
      </c>
      <c r="M110" s="21">
        <f t="shared" si="11"/>
        <v>0</v>
      </c>
      <c r="N110" s="489">
        <f>SUM(J110:M115)</f>
        <v>1300</v>
      </c>
    </row>
    <row r="111" spans="1:14" x14ac:dyDescent="0.25">
      <c r="A111" s="88"/>
      <c r="B111" s="35" t="s">
        <v>180</v>
      </c>
      <c r="C111" s="70"/>
      <c r="D111" s="67"/>
      <c r="E111" s="15">
        <f>E29</f>
        <v>80000</v>
      </c>
      <c r="F111" s="68"/>
      <c r="G111" s="490"/>
      <c r="I111" s="37" t="s">
        <v>180</v>
      </c>
      <c r="J111" s="25">
        <f t="shared" si="13"/>
        <v>0</v>
      </c>
      <c r="K111" s="21">
        <f t="shared" si="9"/>
        <v>0</v>
      </c>
      <c r="L111" s="26">
        <f t="shared" si="10"/>
        <v>80</v>
      </c>
      <c r="M111" s="21">
        <f t="shared" si="11"/>
        <v>0</v>
      </c>
      <c r="N111" s="490"/>
    </row>
    <row r="112" spans="1:14" x14ac:dyDescent="0.25">
      <c r="A112" s="88"/>
      <c r="B112" s="35" t="s">
        <v>181</v>
      </c>
      <c r="C112" s="70"/>
      <c r="D112" s="67"/>
      <c r="E112" s="15">
        <f>E30</f>
        <v>5000</v>
      </c>
      <c r="F112" s="68"/>
      <c r="G112" s="490"/>
      <c r="I112" s="37" t="s">
        <v>181</v>
      </c>
      <c r="J112" s="25">
        <f t="shared" si="13"/>
        <v>0</v>
      </c>
      <c r="K112" s="21">
        <f t="shared" si="9"/>
        <v>0</v>
      </c>
      <c r="L112" s="26">
        <f t="shared" si="10"/>
        <v>5</v>
      </c>
      <c r="M112" s="21">
        <f t="shared" si="11"/>
        <v>0</v>
      </c>
      <c r="N112" s="490"/>
    </row>
    <row r="113" spans="1:14" x14ac:dyDescent="0.25">
      <c r="A113" s="88"/>
      <c r="B113" s="35" t="s">
        <v>182</v>
      </c>
      <c r="C113" s="70"/>
      <c r="D113" s="67"/>
      <c r="E113" s="15">
        <f>E31</f>
        <v>80000</v>
      </c>
      <c r="F113" s="68"/>
      <c r="G113" s="490"/>
      <c r="I113" s="37" t="s">
        <v>182</v>
      </c>
      <c r="J113" s="25">
        <f t="shared" si="13"/>
        <v>0</v>
      </c>
      <c r="K113" s="21">
        <f t="shared" si="9"/>
        <v>0</v>
      </c>
      <c r="L113" s="26">
        <f t="shared" si="10"/>
        <v>80</v>
      </c>
      <c r="M113" s="21">
        <f t="shared" si="11"/>
        <v>0</v>
      </c>
      <c r="N113" s="490"/>
    </row>
    <row r="114" spans="1:14" x14ac:dyDescent="0.25">
      <c r="A114" s="88"/>
      <c r="B114" s="35" t="s">
        <v>183</v>
      </c>
      <c r="C114" s="70"/>
      <c r="D114" s="67"/>
      <c r="E114" s="15">
        <f>E32</f>
        <v>500000</v>
      </c>
      <c r="F114" s="68"/>
      <c r="G114" s="490"/>
      <c r="I114" s="37" t="s">
        <v>183</v>
      </c>
      <c r="J114" s="25">
        <f t="shared" si="13"/>
        <v>0</v>
      </c>
      <c r="K114" s="21">
        <f t="shared" si="9"/>
        <v>0</v>
      </c>
      <c r="L114" s="26">
        <f t="shared" si="10"/>
        <v>500</v>
      </c>
      <c r="M114" s="21">
        <f t="shared" si="11"/>
        <v>0</v>
      </c>
      <c r="N114" s="490"/>
    </row>
    <row r="115" spans="1:14" ht="15.75" thickBot="1" x14ac:dyDescent="0.3">
      <c r="A115" s="88"/>
      <c r="B115" s="38" t="s">
        <v>184</v>
      </c>
      <c r="C115" s="72"/>
      <c r="D115" s="75"/>
      <c r="E115" s="15">
        <f>E33</f>
        <v>500000</v>
      </c>
      <c r="F115" s="76"/>
      <c r="G115" s="491"/>
      <c r="I115" s="50" t="s">
        <v>184</v>
      </c>
      <c r="J115" s="27">
        <f t="shared" si="13"/>
        <v>0</v>
      </c>
      <c r="K115" s="29">
        <f t="shared" si="9"/>
        <v>0</v>
      </c>
      <c r="L115" s="28">
        <f t="shared" si="10"/>
        <v>500</v>
      </c>
      <c r="M115" s="29">
        <f t="shared" si="11"/>
        <v>0</v>
      </c>
      <c r="N115" s="490"/>
    </row>
    <row r="116" spans="1:14" ht="15.75" thickBot="1" x14ac:dyDescent="0.3">
      <c r="B116" s="9" t="s">
        <v>305</v>
      </c>
      <c r="C116" s="77"/>
      <c r="D116" s="90">
        <f>D34</f>
        <v>1500000</v>
      </c>
      <c r="E116" s="78"/>
      <c r="F116" s="79"/>
      <c r="G116" s="42">
        <f>SUM(C116:F116)</f>
        <v>1500000</v>
      </c>
      <c r="I116" s="48" t="s">
        <v>305</v>
      </c>
      <c r="J116" s="44">
        <f t="shared" si="13"/>
        <v>0</v>
      </c>
      <c r="K116" s="30">
        <f t="shared" si="9"/>
        <v>1500</v>
      </c>
      <c r="L116" s="30">
        <f t="shared" si="10"/>
        <v>0</v>
      </c>
      <c r="M116" s="45">
        <f t="shared" si="11"/>
        <v>0</v>
      </c>
      <c r="N116" s="43">
        <f>SUM(J116:M116)</f>
        <v>1500</v>
      </c>
    </row>
    <row r="117" spans="1:14" ht="15.75" thickBot="1" x14ac:dyDescent="0.3">
      <c r="C117" s="40">
        <f>SUM(C85:C116)</f>
        <v>10825971</v>
      </c>
      <c r="D117" s="406">
        <f t="shared" ref="D117:G117" si="23">SUM(D85:D116)</f>
        <v>6388810.7820000006</v>
      </c>
      <c r="E117" s="16">
        <f t="shared" si="23"/>
        <v>1300000</v>
      </c>
      <c r="F117" s="41">
        <f t="shared" si="23"/>
        <v>170000</v>
      </c>
      <c r="G117" s="407">
        <f t="shared" si="23"/>
        <v>18684781.782000002</v>
      </c>
      <c r="J117" s="46">
        <f t="shared" si="13"/>
        <v>10825.971</v>
      </c>
      <c r="K117" s="413">
        <f t="shared" si="9"/>
        <v>6388.8107820000005</v>
      </c>
      <c r="L117" s="31">
        <f t="shared" si="10"/>
        <v>1300</v>
      </c>
      <c r="M117" s="47">
        <f t="shared" si="11"/>
        <v>170</v>
      </c>
      <c r="N117" s="412">
        <f t="shared" ref="N117" si="24">SUM(N85:N116)</f>
        <v>18684.781781999998</v>
      </c>
    </row>
    <row r="118" spans="1:14" x14ac:dyDescent="0.25">
      <c r="D118" s="5"/>
    </row>
    <row r="162" s="61" customFormat="1" ht="15.75" thickBot="1" x14ac:dyDescent="0.3"/>
  </sheetData>
  <mergeCells count="12">
    <mergeCell ref="G6:G18"/>
    <mergeCell ref="G19:G27"/>
    <mergeCell ref="G28:G33"/>
    <mergeCell ref="N6:N18"/>
    <mergeCell ref="N19:N27"/>
    <mergeCell ref="N28:N33"/>
    <mergeCell ref="G99:G109"/>
    <mergeCell ref="N99:N109"/>
    <mergeCell ref="G110:G115"/>
    <mergeCell ref="N110:N115"/>
    <mergeCell ref="G86:G98"/>
    <mergeCell ref="N86:N98"/>
  </mergeCells>
  <pageMargins left="0.7" right="0.7" top="0.75" bottom="0.75" header="0.3" footer="0.3"/>
  <pageSetup orientation="portrait" horizontalDpi="360" verticalDpi="36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34"/>
  <sheetViews>
    <sheetView topLeftCell="I17" workbookViewId="0">
      <selection activeCell="R27" sqref="R27"/>
    </sheetView>
  </sheetViews>
  <sheetFormatPr baseColWidth="10" defaultRowHeight="15" x14ac:dyDescent="0.25"/>
  <cols>
    <col min="1" max="1" width="14.85546875" style="253" customWidth="1"/>
    <col min="2" max="3" width="11.42578125" style="253"/>
    <col min="4" max="4" width="46.42578125" style="253" bestFit="1" customWidth="1"/>
    <col min="5" max="5" width="12.7109375" style="253" bestFit="1" customWidth="1"/>
    <col min="6" max="6" width="8.85546875" style="253" bestFit="1" customWidth="1"/>
    <col min="7" max="8" width="11.5703125" style="253" bestFit="1" customWidth="1"/>
    <col min="9" max="17" width="11.5703125" style="253" customWidth="1"/>
    <col min="18" max="22" width="11.5703125" style="253" bestFit="1" customWidth="1"/>
    <col min="23" max="23" width="12.85546875" style="253" bestFit="1" customWidth="1"/>
    <col min="24" max="16384" width="11.42578125" style="253"/>
  </cols>
  <sheetData>
    <row r="1" spans="1:23" ht="15.75" thickBot="1" x14ac:dyDescent="0.3">
      <c r="G1" s="353"/>
      <c r="H1" s="353"/>
      <c r="I1" s="353"/>
      <c r="J1" s="353"/>
      <c r="K1" s="353"/>
      <c r="L1" s="353"/>
      <c r="M1" s="353"/>
      <c r="N1" s="353"/>
      <c r="O1" s="353"/>
      <c r="P1" s="353"/>
      <c r="Q1" s="353"/>
    </row>
    <row r="2" spans="1:23" ht="60.75" thickBot="1" x14ac:dyDescent="0.3">
      <c r="D2" s="354" t="s">
        <v>87</v>
      </c>
      <c r="E2" s="354" t="s">
        <v>88</v>
      </c>
      <c r="F2" s="354" t="s">
        <v>89</v>
      </c>
      <c r="G2" s="354" t="s">
        <v>137</v>
      </c>
      <c r="H2" s="354" t="s">
        <v>137</v>
      </c>
      <c r="I2" s="354" t="s">
        <v>139</v>
      </c>
      <c r="J2" s="354" t="s">
        <v>136</v>
      </c>
      <c r="K2" s="354" t="s">
        <v>138</v>
      </c>
      <c r="L2" s="354" t="s">
        <v>133</v>
      </c>
      <c r="M2" s="354" t="s">
        <v>129</v>
      </c>
      <c r="N2" s="354" t="s">
        <v>134</v>
      </c>
      <c r="O2" s="354" t="s">
        <v>135</v>
      </c>
      <c r="P2" s="354" t="s">
        <v>143</v>
      </c>
      <c r="Q2" s="354" t="s">
        <v>140</v>
      </c>
      <c r="R2" s="355" t="s">
        <v>141</v>
      </c>
      <c r="S2" s="356"/>
      <c r="T2" s="356"/>
      <c r="U2" s="356"/>
      <c r="V2" s="356"/>
      <c r="W2" s="356"/>
    </row>
    <row r="3" spans="1:23" ht="15" customHeight="1" x14ac:dyDescent="0.25">
      <c r="A3" s="496" t="s">
        <v>91</v>
      </c>
      <c r="B3" s="496" t="s">
        <v>92</v>
      </c>
      <c r="C3" s="496" t="s">
        <v>93</v>
      </c>
      <c r="D3" s="498" t="s">
        <v>94</v>
      </c>
      <c r="E3" s="357" t="s">
        <v>121</v>
      </c>
      <c r="F3" s="358">
        <v>2</v>
      </c>
      <c r="G3" s="359">
        <v>80000</v>
      </c>
      <c r="H3" s="360">
        <f t="shared" ref="H3:H25" si="0">F3*G3</f>
        <v>160000</v>
      </c>
      <c r="I3" s="360">
        <f t="shared" ref="I3:I25" si="1">H3</f>
        <v>160000</v>
      </c>
      <c r="J3" s="360">
        <f t="shared" ref="J3:J25" si="2">H3</f>
        <v>160000</v>
      </c>
      <c r="K3" s="360">
        <f t="shared" ref="K3:K25" si="3">H3*12+I3+J3</f>
        <v>2240000</v>
      </c>
      <c r="L3" s="360">
        <f t="shared" ref="L3:L19" si="4">K3*$E$31</f>
        <v>168000</v>
      </c>
      <c r="M3" s="360">
        <f t="shared" ref="M3:M19" si="5">K3*$E$32</f>
        <v>112000</v>
      </c>
      <c r="N3" s="360">
        <f t="shared" ref="N3:N19" si="6">K3*$E$33</f>
        <v>2240</v>
      </c>
      <c r="O3" s="360">
        <f t="shared" ref="O3:O19" si="7">K3*$E$34</f>
        <v>560</v>
      </c>
      <c r="P3" s="360">
        <f>H3*95%</f>
        <v>152000</v>
      </c>
      <c r="Q3" s="360">
        <f t="shared" ref="Q3:Q25" si="8">K3+L3+M3+N3+O3+P3</f>
        <v>2674800</v>
      </c>
      <c r="R3" s="361">
        <f>Q3/General!$D$2</f>
        <v>66870</v>
      </c>
      <c r="S3" s="83"/>
      <c r="T3" s="360"/>
      <c r="U3" s="360"/>
      <c r="V3" s="360"/>
      <c r="W3" s="360"/>
    </row>
    <row r="4" spans="1:23" x14ac:dyDescent="0.25">
      <c r="A4" s="496"/>
      <c r="B4" s="496"/>
      <c r="C4" s="496"/>
      <c r="D4" s="498"/>
      <c r="E4" s="357" t="s">
        <v>122</v>
      </c>
      <c r="F4" s="358">
        <v>2</v>
      </c>
      <c r="G4" s="359">
        <f>G3*1.2</f>
        <v>96000</v>
      </c>
      <c r="H4" s="360">
        <f t="shared" si="0"/>
        <v>192000</v>
      </c>
      <c r="I4" s="360">
        <f t="shared" si="1"/>
        <v>192000</v>
      </c>
      <c r="J4" s="360">
        <f t="shared" si="2"/>
        <v>192000</v>
      </c>
      <c r="K4" s="360">
        <f t="shared" si="3"/>
        <v>2688000</v>
      </c>
      <c r="L4" s="360">
        <f t="shared" si="4"/>
        <v>201600</v>
      </c>
      <c r="M4" s="360">
        <f t="shared" si="5"/>
        <v>134400</v>
      </c>
      <c r="N4" s="360">
        <f t="shared" si="6"/>
        <v>2688</v>
      </c>
      <c r="O4" s="360">
        <f t="shared" si="7"/>
        <v>672</v>
      </c>
      <c r="P4" s="360">
        <f t="shared" ref="P4:P26" si="9">H4*95%</f>
        <v>182400</v>
      </c>
      <c r="Q4" s="360">
        <f t="shared" si="8"/>
        <v>3209760</v>
      </c>
      <c r="R4" s="362">
        <f>Q4/General!$D$2</f>
        <v>80244</v>
      </c>
      <c r="S4" s="83"/>
      <c r="T4" s="360"/>
      <c r="U4" s="360"/>
      <c r="V4" s="360"/>
      <c r="W4" s="360"/>
    </row>
    <row r="5" spans="1:23" x14ac:dyDescent="0.25">
      <c r="A5" s="496"/>
      <c r="B5" s="496"/>
      <c r="C5" s="496"/>
      <c r="D5" s="357" t="s">
        <v>95</v>
      </c>
      <c r="E5" s="357" t="s">
        <v>123</v>
      </c>
      <c r="F5" s="358">
        <v>4</v>
      </c>
      <c r="G5" s="359">
        <v>70000</v>
      </c>
      <c r="H5" s="360">
        <f t="shared" si="0"/>
        <v>280000</v>
      </c>
      <c r="I5" s="360">
        <f t="shared" si="1"/>
        <v>280000</v>
      </c>
      <c r="J5" s="360">
        <f t="shared" si="2"/>
        <v>280000</v>
      </c>
      <c r="K5" s="360">
        <f t="shared" si="3"/>
        <v>3920000</v>
      </c>
      <c r="L5" s="360">
        <f t="shared" si="4"/>
        <v>294000</v>
      </c>
      <c r="M5" s="360">
        <f t="shared" si="5"/>
        <v>196000</v>
      </c>
      <c r="N5" s="360">
        <f t="shared" si="6"/>
        <v>3920</v>
      </c>
      <c r="O5" s="360">
        <f t="shared" si="7"/>
        <v>980</v>
      </c>
      <c r="P5" s="360">
        <f t="shared" si="9"/>
        <v>266000</v>
      </c>
      <c r="Q5" s="360">
        <f t="shared" si="8"/>
        <v>4680900</v>
      </c>
      <c r="R5" s="362">
        <f>Q5/General!$D$2</f>
        <v>117022.5</v>
      </c>
      <c r="S5" s="83"/>
      <c r="T5" s="360"/>
      <c r="U5" s="360"/>
      <c r="V5" s="360"/>
      <c r="W5" s="360"/>
    </row>
    <row r="6" spans="1:23" ht="15" customHeight="1" x14ac:dyDescent="0.25">
      <c r="A6" s="496"/>
      <c r="B6" s="496"/>
      <c r="C6" s="496" t="s">
        <v>96</v>
      </c>
      <c r="D6" s="498" t="s">
        <v>97</v>
      </c>
      <c r="E6" s="357" t="s">
        <v>121</v>
      </c>
      <c r="F6" s="358">
        <v>1</v>
      </c>
      <c r="G6" s="359">
        <v>110000</v>
      </c>
      <c r="H6" s="360">
        <f t="shared" si="0"/>
        <v>110000</v>
      </c>
      <c r="I6" s="360">
        <f t="shared" si="1"/>
        <v>110000</v>
      </c>
      <c r="J6" s="360">
        <f t="shared" si="2"/>
        <v>110000</v>
      </c>
      <c r="K6" s="360">
        <f t="shared" si="3"/>
        <v>1540000</v>
      </c>
      <c r="L6" s="360">
        <f t="shared" si="4"/>
        <v>115500</v>
      </c>
      <c r="M6" s="360">
        <f t="shared" si="5"/>
        <v>77000</v>
      </c>
      <c r="N6" s="360">
        <f t="shared" si="6"/>
        <v>1540</v>
      </c>
      <c r="O6" s="360">
        <f t="shared" si="7"/>
        <v>385</v>
      </c>
      <c r="P6" s="360">
        <f t="shared" si="9"/>
        <v>104500</v>
      </c>
      <c r="Q6" s="360">
        <f t="shared" si="8"/>
        <v>1838925</v>
      </c>
      <c r="R6" s="362">
        <f>Q6/General!$D$2</f>
        <v>45973.125</v>
      </c>
      <c r="S6" s="83"/>
      <c r="T6" s="360"/>
      <c r="U6" s="360"/>
      <c r="V6" s="360"/>
      <c r="W6" s="360"/>
    </row>
    <row r="7" spans="1:23" x14ac:dyDescent="0.25">
      <c r="A7" s="496"/>
      <c r="B7" s="496"/>
      <c r="C7" s="496"/>
      <c r="D7" s="498"/>
      <c r="E7" s="357" t="s">
        <v>122</v>
      </c>
      <c r="F7" s="358">
        <v>1</v>
      </c>
      <c r="G7" s="359">
        <f>G6*1.2</f>
        <v>132000</v>
      </c>
      <c r="H7" s="360">
        <f t="shared" si="0"/>
        <v>132000</v>
      </c>
      <c r="I7" s="360">
        <f t="shared" si="1"/>
        <v>132000</v>
      </c>
      <c r="J7" s="360">
        <f t="shared" si="2"/>
        <v>132000</v>
      </c>
      <c r="K7" s="360">
        <f t="shared" si="3"/>
        <v>1848000</v>
      </c>
      <c r="L7" s="360">
        <f t="shared" si="4"/>
        <v>138600</v>
      </c>
      <c r="M7" s="360">
        <f t="shared" si="5"/>
        <v>92400</v>
      </c>
      <c r="N7" s="360">
        <f t="shared" si="6"/>
        <v>1848</v>
      </c>
      <c r="O7" s="360">
        <f t="shared" si="7"/>
        <v>462</v>
      </c>
      <c r="P7" s="360">
        <f t="shared" si="9"/>
        <v>125400</v>
      </c>
      <c r="Q7" s="360">
        <f t="shared" si="8"/>
        <v>2206710</v>
      </c>
      <c r="R7" s="362">
        <f>Q7/General!$D$2</f>
        <v>55167.75</v>
      </c>
      <c r="S7" s="83"/>
      <c r="T7" s="360"/>
      <c r="U7" s="360"/>
      <c r="V7" s="360"/>
      <c r="W7" s="360"/>
    </row>
    <row r="8" spans="1:23" x14ac:dyDescent="0.25">
      <c r="A8" s="496"/>
      <c r="B8" s="496"/>
      <c r="C8" s="496"/>
      <c r="D8" s="357" t="s">
        <v>98</v>
      </c>
      <c r="E8" s="357" t="s">
        <v>123</v>
      </c>
      <c r="F8" s="358">
        <v>4</v>
      </c>
      <c r="G8" s="359">
        <v>120000</v>
      </c>
      <c r="H8" s="360">
        <f t="shared" si="0"/>
        <v>480000</v>
      </c>
      <c r="I8" s="360">
        <f t="shared" si="1"/>
        <v>480000</v>
      </c>
      <c r="J8" s="360">
        <f t="shared" si="2"/>
        <v>480000</v>
      </c>
      <c r="K8" s="360">
        <f t="shared" si="3"/>
        <v>6720000</v>
      </c>
      <c r="L8" s="360">
        <f t="shared" si="4"/>
        <v>504000</v>
      </c>
      <c r="M8" s="360">
        <f t="shared" si="5"/>
        <v>336000</v>
      </c>
      <c r="N8" s="360">
        <f t="shared" si="6"/>
        <v>6720</v>
      </c>
      <c r="O8" s="360">
        <f t="shared" si="7"/>
        <v>1680</v>
      </c>
      <c r="P8" s="360">
        <f t="shared" si="9"/>
        <v>456000</v>
      </c>
      <c r="Q8" s="360">
        <f t="shared" si="8"/>
        <v>8024400</v>
      </c>
      <c r="R8" s="362">
        <f>Q8/General!$D$2</f>
        <v>200610</v>
      </c>
      <c r="S8" s="83"/>
      <c r="T8" s="360"/>
      <c r="U8" s="360"/>
      <c r="V8" s="360"/>
      <c r="W8" s="360"/>
    </row>
    <row r="9" spans="1:23" x14ac:dyDescent="0.25">
      <c r="A9" s="496"/>
      <c r="B9" s="496"/>
      <c r="C9" s="498" t="s">
        <v>99</v>
      </c>
      <c r="D9" s="498"/>
      <c r="E9" s="357" t="s">
        <v>124</v>
      </c>
      <c r="F9" s="358">
        <v>1</v>
      </c>
      <c r="G9" s="359">
        <v>250000</v>
      </c>
      <c r="H9" s="360">
        <f t="shared" si="0"/>
        <v>250000</v>
      </c>
      <c r="I9" s="360">
        <f t="shared" si="1"/>
        <v>250000</v>
      </c>
      <c r="J9" s="360">
        <f t="shared" si="2"/>
        <v>250000</v>
      </c>
      <c r="K9" s="360">
        <f t="shared" si="3"/>
        <v>3500000</v>
      </c>
      <c r="L9" s="360">
        <f t="shared" si="4"/>
        <v>262500</v>
      </c>
      <c r="M9" s="360">
        <f t="shared" si="5"/>
        <v>175000</v>
      </c>
      <c r="N9" s="360">
        <f t="shared" si="6"/>
        <v>3500</v>
      </c>
      <c r="O9" s="360">
        <f t="shared" si="7"/>
        <v>875</v>
      </c>
      <c r="P9" s="360">
        <f t="shared" si="9"/>
        <v>237500</v>
      </c>
      <c r="Q9" s="360">
        <f t="shared" si="8"/>
        <v>4179375</v>
      </c>
      <c r="R9" s="362">
        <f>Q9/General!$D$2</f>
        <v>104484.375</v>
      </c>
      <c r="S9" s="83"/>
      <c r="T9" s="360"/>
      <c r="U9" s="360"/>
      <c r="V9" s="360"/>
      <c r="W9" s="360"/>
    </row>
    <row r="10" spans="1:23" x14ac:dyDescent="0.25">
      <c r="A10" s="496"/>
      <c r="B10" s="496" t="s">
        <v>100</v>
      </c>
      <c r="C10" s="498" t="s">
        <v>101</v>
      </c>
      <c r="D10" s="498"/>
      <c r="E10" s="357" t="s">
        <v>123</v>
      </c>
      <c r="F10" s="358">
        <v>4</v>
      </c>
      <c r="G10" s="359">
        <v>120000</v>
      </c>
      <c r="H10" s="360">
        <f t="shared" si="0"/>
        <v>480000</v>
      </c>
      <c r="I10" s="360">
        <f t="shared" si="1"/>
        <v>480000</v>
      </c>
      <c r="J10" s="360">
        <f t="shared" si="2"/>
        <v>480000</v>
      </c>
      <c r="K10" s="360">
        <f t="shared" si="3"/>
        <v>6720000</v>
      </c>
      <c r="L10" s="360">
        <f t="shared" si="4"/>
        <v>504000</v>
      </c>
      <c r="M10" s="360">
        <f t="shared" si="5"/>
        <v>336000</v>
      </c>
      <c r="N10" s="360">
        <f t="shared" si="6"/>
        <v>6720</v>
      </c>
      <c r="O10" s="360">
        <f t="shared" si="7"/>
        <v>1680</v>
      </c>
      <c r="P10" s="360">
        <f t="shared" si="9"/>
        <v>456000</v>
      </c>
      <c r="Q10" s="360">
        <f t="shared" si="8"/>
        <v>8024400</v>
      </c>
      <c r="R10" s="362">
        <f>Q10/General!$D$2</f>
        <v>200610</v>
      </c>
      <c r="S10" s="83"/>
      <c r="T10" s="360"/>
      <c r="U10" s="360"/>
      <c r="V10" s="360"/>
      <c r="W10" s="360"/>
    </row>
    <row r="11" spans="1:23" x14ac:dyDescent="0.25">
      <c r="A11" s="496"/>
      <c r="B11" s="496"/>
      <c r="C11" s="498" t="s">
        <v>120</v>
      </c>
      <c r="D11" s="498"/>
      <c r="E11" s="357" t="s">
        <v>124</v>
      </c>
      <c r="F11" s="358">
        <v>1</v>
      </c>
      <c r="G11" s="359">
        <v>200000</v>
      </c>
      <c r="H11" s="360">
        <f t="shared" si="0"/>
        <v>200000</v>
      </c>
      <c r="I11" s="360">
        <f t="shared" si="1"/>
        <v>200000</v>
      </c>
      <c r="J11" s="360">
        <f t="shared" si="2"/>
        <v>200000</v>
      </c>
      <c r="K11" s="360">
        <f t="shared" si="3"/>
        <v>2800000</v>
      </c>
      <c r="L11" s="360">
        <f t="shared" si="4"/>
        <v>210000</v>
      </c>
      <c r="M11" s="360">
        <f t="shared" si="5"/>
        <v>140000</v>
      </c>
      <c r="N11" s="360">
        <f t="shared" si="6"/>
        <v>2800</v>
      </c>
      <c r="O11" s="360">
        <f t="shared" si="7"/>
        <v>700</v>
      </c>
      <c r="P11" s="360">
        <f t="shared" si="9"/>
        <v>190000</v>
      </c>
      <c r="Q11" s="360">
        <f t="shared" si="8"/>
        <v>3343500</v>
      </c>
      <c r="R11" s="362">
        <f>Q11/General!$D$2</f>
        <v>83587.5</v>
      </c>
      <c r="S11" s="83"/>
      <c r="T11" s="360"/>
      <c r="U11" s="360"/>
      <c r="V11" s="360"/>
      <c r="W11" s="360"/>
    </row>
    <row r="12" spans="1:23" x14ac:dyDescent="0.25">
      <c r="A12" s="496"/>
      <c r="B12" s="496" t="s">
        <v>102</v>
      </c>
      <c r="C12" s="495" t="s">
        <v>103</v>
      </c>
      <c r="D12" s="495"/>
      <c r="E12" s="363" t="s">
        <v>124</v>
      </c>
      <c r="F12" s="358">
        <v>1</v>
      </c>
      <c r="G12" s="359">
        <v>180000</v>
      </c>
      <c r="H12" s="360">
        <f t="shared" si="0"/>
        <v>180000</v>
      </c>
      <c r="I12" s="360">
        <f t="shared" si="1"/>
        <v>180000</v>
      </c>
      <c r="J12" s="360">
        <f t="shared" si="2"/>
        <v>180000</v>
      </c>
      <c r="K12" s="360">
        <f t="shared" si="3"/>
        <v>2520000</v>
      </c>
      <c r="L12" s="360">
        <f t="shared" si="4"/>
        <v>189000</v>
      </c>
      <c r="M12" s="360">
        <f t="shared" si="5"/>
        <v>126000</v>
      </c>
      <c r="N12" s="360">
        <f t="shared" si="6"/>
        <v>2520</v>
      </c>
      <c r="O12" s="360">
        <f t="shared" si="7"/>
        <v>630</v>
      </c>
      <c r="P12" s="360">
        <f t="shared" si="9"/>
        <v>171000</v>
      </c>
      <c r="Q12" s="360">
        <f t="shared" si="8"/>
        <v>3009150</v>
      </c>
      <c r="R12" s="362">
        <f>Q12/General!$D$2</f>
        <v>75228.75</v>
      </c>
      <c r="S12" s="83"/>
      <c r="T12" s="360"/>
      <c r="U12" s="360"/>
      <c r="V12" s="360"/>
      <c r="W12" s="360"/>
    </row>
    <row r="13" spans="1:23" x14ac:dyDescent="0.25">
      <c r="A13" s="496"/>
      <c r="B13" s="496"/>
      <c r="C13" s="497" t="s">
        <v>93</v>
      </c>
      <c r="D13" s="363" t="s">
        <v>104</v>
      </c>
      <c r="E13" s="363" t="s">
        <v>124</v>
      </c>
      <c r="F13" s="358">
        <v>1</v>
      </c>
      <c r="G13" s="359">
        <v>80000</v>
      </c>
      <c r="H13" s="360">
        <f t="shared" si="0"/>
        <v>80000</v>
      </c>
      <c r="I13" s="360">
        <f t="shared" si="1"/>
        <v>80000</v>
      </c>
      <c r="J13" s="360">
        <f t="shared" si="2"/>
        <v>80000</v>
      </c>
      <c r="K13" s="360">
        <f t="shared" si="3"/>
        <v>1120000</v>
      </c>
      <c r="L13" s="360">
        <f t="shared" si="4"/>
        <v>84000</v>
      </c>
      <c r="M13" s="360">
        <f t="shared" si="5"/>
        <v>56000</v>
      </c>
      <c r="N13" s="360">
        <f t="shared" si="6"/>
        <v>1120</v>
      </c>
      <c r="O13" s="360">
        <f t="shared" si="7"/>
        <v>280</v>
      </c>
      <c r="P13" s="360">
        <f t="shared" si="9"/>
        <v>76000</v>
      </c>
      <c r="Q13" s="360">
        <f t="shared" si="8"/>
        <v>1337400</v>
      </c>
      <c r="R13" s="362">
        <f>Q13/General!$D$2</f>
        <v>33435</v>
      </c>
      <c r="S13" s="83"/>
      <c r="T13" s="360"/>
      <c r="U13" s="360"/>
      <c r="V13" s="360"/>
      <c r="W13" s="360"/>
    </row>
    <row r="14" spans="1:23" x14ac:dyDescent="0.25">
      <c r="A14" s="496"/>
      <c r="B14" s="496"/>
      <c r="C14" s="497"/>
      <c r="D14" s="363" t="s">
        <v>105</v>
      </c>
      <c r="E14" s="363" t="s">
        <v>124</v>
      </c>
      <c r="F14" s="358">
        <v>1</v>
      </c>
      <c r="G14" s="359">
        <v>80000</v>
      </c>
      <c r="H14" s="360">
        <f t="shared" si="0"/>
        <v>80000</v>
      </c>
      <c r="I14" s="360">
        <f t="shared" si="1"/>
        <v>80000</v>
      </c>
      <c r="J14" s="360">
        <f t="shared" si="2"/>
        <v>80000</v>
      </c>
      <c r="K14" s="360">
        <f t="shared" si="3"/>
        <v>1120000</v>
      </c>
      <c r="L14" s="360">
        <f t="shared" si="4"/>
        <v>84000</v>
      </c>
      <c r="M14" s="360">
        <f t="shared" si="5"/>
        <v>56000</v>
      </c>
      <c r="N14" s="360">
        <f t="shared" si="6"/>
        <v>1120</v>
      </c>
      <c r="O14" s="360">
        <f t="shared" si="7"/>
        <v>280</v>
      </c>
      <c r="P14" s="360">
        <f t="shared" si="9"/>
        <v>76000</v>
      </c>
      <c r="Q14" s="360">
        <f t="shared" si="8"/>
        <v>1337400</v>
      </c>
      <c r="R14" s="362">
        <f>Q14/General!$D$2</f>
        <v>33435</v>
      </c>
      <c r="S14" s="83"/>
      <c r="T14" s="360"/>
      <c r="U14" s="360"/>
      <c r="V14" s="360"/>
      <c r="W14" s="360"/>
    </row>
    <row r="15" spans="1:23" ht="45" x14ac:dyDescent="0.25">
      <c r="A15" s="496"/>
      <c r="B15" s="393" t="s">
        <v>106</v>
      </c>
      <c r="C15" s="495" t="s">
        <v>107</v>
      </c>
      <c r="D15" s="495"/>
      <c r="E15" s="363" t="s">
        <v>125</v>
      </c>
      <c r="F15" s="358">
        <v>1</v>
      </c>
      <c r="G15" s="359">
        <v>80000</v>
      </c>
      <c r="H15" s="360">
        <f t="shared" si="0"/>
        <v>80000</v>
      </c>
      <c r="I15" s="360">
        <f t="shared" si="1"/>
        <v>80000</v>
      </c>
      <c r="J15" s="360">
        <f t="shared" si="2"/>
        <v>80000</v>
      </c>
      <c r="K15" s="360">
        <f t="shared" si="3"/>
        <v>1120000</v>
      </c>
      <c r="L15" s="360">
        <f t="shared" si="4"/>
        <v>84000</v>
      </c>
      <c r="M15" s="360">
        <f t="shared" si="5"/>
        <v>56000</v>
      </c>
      <c r="N15" s="360">
        <f t="shared" si="6"/>
        <v>1120</v>
      </c>
      <c r="O15" s="360">
        <f t="shared" si="7"/>
        <v>280</v>
      </c>
      <c r="P15" s="360">
        <f t="shared" si="9"/>
        <v>76000</v>
      </c>
      <c r="Q15" s="360">
        <f t="shared" si="8"/>
        <v>1337400</v>
      </c>
      <c r="R15" s="362">
        <f>Q15/General!$D$2</f>
        <v>33435</v>
      </c>
      <c r="S15" s="83"/>
      <c r="T15" s="360"/>
      <c r="U15" s="360"/>
      <c r="V15" s="360"/>
      <c r="W15" s="360"/>
    </row>
    <row r="16" spans="1:23" x14ac:dyDescent="0.25">
      <c r="A16" s="496"/>
      <c r="B16" s="497" t="s">
        <v>108</v>
      </c>
      <c r="C16" s="495" t="s">
        <v>109</v>
      </c>
      <c r="D16" s="495"/>
      <c r="E16" s="363" t="s">
        <v>124</v>
      </c>
      <c r="F16" s="358">
        <v>1</v>
      </c>
      <c r="G16" s="359">
        <v>120000</v>
      </c>
      <c r="H16" s="360">
        <f t="shared" si="0"/>
        <v>120000</v>
      </c>
      <c r="I16" s="360">
        <f t="shared" si="1"/>
        <v>120000</v>
      </c>
      <c r="J16" s="360">
        <f t="shared" si="2"/>
        <v>120000</v>
      </c>
      <c r="K16" s="360">
        <f t="shared" si="3"/>
        <v>1680000</v>
      </c>
      <c r="L16" s="360">
        <f t="shared" si="4"/>
        <v>126000</v>
      </c>
      <c r="M16" s="360">
        <f t="shared" si="5"/>
        <v>84000</v>
      </c>
      <c r="N16" s="360">
        <f t="shared" si="6"/>
        <v>1680</v>
      </c>
      <c r="O16" s="360">
        <f t="shared" si="7"/>
        <v>420</v>
      </c>
      <c r="P16" s="360">
        <f t="shared" si="9"/>
        <v>114000</v>
      </c>
      <c r="Q16" s="360">
        <f t="shared" si="8"/>
        <v>2006100</v>
      </c>
      <c r="R16" s="362">
        <f>Q16/General!$D$2</f>
        <v>50152.5</v>
      </c>
      <c r="S16" s="83"/>
      <c r="T16" s="360"/>
      <c r="U16" s="360"/>
      <c r="V16" s="360"/>
      <c r="W16" s="360"/>
    </row>
    <row r="17" spans="1:32" x14ac:dyDescent="0.25">
      <c r="A17" s="496"/>
      <c r="B17" s="497"/>
      <c r="C17" s="495" t="s">
        <v>110</v>
      </c>
      <c r="D17" s="495"/>
      <c r="E17" s="363" t="s">
        <v>126</v>
      </c>
      <c r="F17" s="358">
        <v>1</v>
      </c>
      <c r="G17" s="359">
        <v>120000</v>
      </c>
      <c r="H17" s="360">
        <f t="shared" si="0"/>
        <v>120000</v>
      </c>
      <c r="I17" s="360">
        <f t="shared" si="1"/>
        <v>120000</v>
      </c>
      <c r="J17" s="360">
        <f t="shared" si="2"/>
        <v>120000</v>
      </c>
      <c r="K17" s="360">
        <f t="shared" si="3"/>
        <v>1680000</v>
      </c>
      <c r="L17" s="360">
        <f t="shared" si="4"/>
        <v>126000</v>
      </c>
      <c r="M17" s="360">
        <f t="shared" si="5"/>
        <v>84000</v>
      </c>
      <c r="N17" s="360">
        <f t="shared" si="6"/>
        <v>1680</v>
      </c>
      <c r="O17" s="360">
        <f t="shared" si="7"/>
        <v>420</v>
      </c>
      <c r="P17" s="360">
        <f t="shared" si="9"/>
        <v>114000</v>
      </c>
      <c r="Q17" s="360">
        <f t="shared" si="8"/>
        <v>2006100</v>
      </c>
      <c r="R17" s="362">
        <f>Q17/General!$D$2</f>
        <v>50152.5</v>
      </c>
      <c r="S17" s="83"/>
      <c r="T17" s="360"/>
      <c r="U17" s="360"/>
      <c r="V17" s="360"/>
      <c r="W17" s="360"/>
    </row>
    <row r="18" spans="1:32" x14ac:dyDescent="0.25">
      <c r="A18" s="496"/>
      <c r="B18" s="497" t="s">
        <v>119</v>
      </c>
      <c r="C18" s="495" t="s">
        <v>118</v>
      </c>
      <c r="D18" s="495"/>
      <c r="E18" s="363" t="s">
        <v>121</v>
      </c>
      <c r="F18" s="358">
        <v>2</v>
      </c>
      <c r="G18" s="359">
        <v>50000</v>
      </c>
      <c r="H18" s="360">
        <f t="shared" si="0"/>
        <v>100000</v>
      </c>
      <c r="I18" s="360">
        <f t="shared" si="1"/>
        <v>100000</v>
      </c>
      <c r="J18" s="360">
        <f t="shared" si="2"/>
        <v>100000</v>
      </c>
      <c r="K18" s="360">
        <f t="shared" si="3"/>
        <v>1400000</v>
      </c>
      <c r="L18" s="360">
        <f t="shared" si="4"/>
        <v>105000</v>
      </c>
      <c r="M18" s="360">
        <f t="shared" si="5"/>
        <v>70000</v>
      </c>
      <c r="N18" s="360">
        <f t="shared" si="6"/>
        <v>1400</v>
      </c>
      <c r="O18" s="360">
        <f t="shared" si="7"/>
        <v>350</v>
      </c>
      <c r="P18" s="360">
        <f t="shared" si="9"/>
        <v>95000</v>
      </c>
      <c r="Q18" s="360">
        <f t="shared" si="8"/>
        <v>1671750</v>
      </c>
      <c r="R18" s="362">
        <f>Q18/General!$D$2</f>
        <v>41793.75</v>
      </c>
      <c r="S18" s="83"/>
      <c r="T18" s="360"/>
      <c r="U18" s="360"/>
      <c r="V18" s="360"/>
      <c r="W18" s="360"/>
    </row>
    <row r="19" spans="1:32" ht="15.75" thickBot="1" x14ac:dyDescent="0.3">
      <c r="A19" s="496"/>
      <c r="B19" s="497"/>
      <c r="C19" s="495" t="s">
        <v>116</v>
      </c>
      <c r="D19" s="495"/>
      <c r="E19" s="357" t="s">
        <v>123</v>
      </c>
      <c r="F19" s="358">
        <v>4</v>
      </c>
      <c r="G19" s="359">
        <v>50000</v>
      </c>
      <c r="H19" s="360">
        <f t="shared" si="0"/>
        <v>200000</v>
      </c>
      <c r="I19" s="360">
        <f t="shared" si="1"/>
        <v>200000</v>
      </c>
      <c r="J19" s="360">
        <f t="shared" si="2"/>
        <v>200000</v>
      </c>
      <c r="K19" s="360">
        <f t="shared" si="3"/>
        <v>2800000</v>
      </c>
      <c r="L19" s="360">
        <f t="shared" si="4"/>
        <v>210000</v>
      </c>
      <c r="M19" s="360">
        <f t="shared" si="5"/>
        <v>140000</v>
      </c>
      <c r="N19" s="360">
        <f t="shared" si="6"/>
        <v>2800</v>
      </c>
      <c r="O19" s="360">
        <f t="shared" si="7"/>
        <v>700</v>
      </c>
      <c r="P19" s="360">
        <f t="shared" si="9"/>
        <v>190000</v>
      </c>
      <c r="Q19" s="360">
        <f t="shared" si="8"/>
        <v>3343500</v>
      </c>
      <c r="R19" s="362">
        <f>Q19/General!$D$2</f>
        <v>83587.5</v>
      </c>
      <c r="S19" s="83"/>
      <c r="T19" s="364"/>
      <c r="U19" s="364"/>
      <c r="V19" s="364"/>
      <c r="W19" s="364"/>
      <c r="X19" s="364"/>
      <c r="Y19" s="364"/>
      <c r="Z19" s="364"/>
      <c r="AA19" s="364"/>
      <c r="AB19" s="364"/>
      <c r="AC19" s="364"/>
      <c r="AD19" s="364"/>
      <c r="AE19" s="364"/>
    </row>
    <row r="20" spans="1:32" ht="15.75" thickBot="1" x14ac:dyDescent="0.3">
      <c r="A20" s="394"/>
      <c r="B20" s="395"/>
      <c r="C20" s="369"/>
      <c r="D20" s="369"/>
      <c r="E20" s="396"/>
      <c r="F20" s="365"/>
      <c r="G20" s="365"/>
      <c r="H20" s="366">
        <f>SUM(H3:H19)</f>
        <v>3244000</v>
      </c>
      <c r="I20" s="366">
        <f t="shared" ref="I20:R20" si="10">SUM(I3:I19)</f>
        <v>3244000</v>
      </c>
      <c r="J20" s="366">
        <f t="shared" si="10"/>
        <v>3244000</v>
      </c>
      <c r="K20" s="366">
        <f t="shared" si="10"/>
        <v>45416000</v>
      </c>
      <c r="L20" s="366">
        <f t="shared" si="10"/>
        <v>3406200</v>
      </c>
      <c r="M20" s="366">
        <f t="shared" si="10"/>
        <v>2270800</v>
      </c>
      <c r="N20" s="366">
        <f t="shared" si="10"/>
        <v>45416</v>
      </c>
      <c r="O20" s="366">
        <f t="shared" si="10"/>
        <v>11354</v>
      </c>
      <c r="P20" s="366">
        <f t="shared" si="9"/>
        <v>3081800</v>
      </c>
      <c r="Q20" s="366">
        <f t="shared" si="10"/>
        <v>54231570</v>
      </c>
      <c r="R20" s="480">
        <f t="shared" si="10"/>
        <v>1355789.25</v>
      </c>
      <c r="S20" s="83"/>
      <c r="T20" s="360"/>
      <c r="U20" s="360"/>
      <c r="V20" s="360"/>
      <c r="W20" s="360"/>
      <c r="X20" s="360"/>
      <c r="Y20" s="360"/>
      <c r="Z20" s="360"/>
      <c r="AA20" s="360"/>
      <c r="AB20" s="360"/>
      <c r="AC20" s="360"/>
      <c r="AD20" s="360"/>
      <c r="AE20" s="360"/>
    </row>
    <row r="21" spans="1:32" x14ac:dyDescent="0.25">
      <c r="A21" s="498" t="s">
        <v>90</v>
      </c>
      <c r="B21" s="498"/>
      <c r="C21" s="498"/>
      <c r="D21" s="498"/>
      <c r="E21" s="357" t="s">
        <v>124</v>
      </c>
      <c r="F21" s="358">
        <v>1</v>
      </c>
      <c r="G21" s="359">
        <v>400000</v>
      </c>
      <c r="H21" s="360">
        <f>F21*G21</f>
        <v>400000</v>
      </c>
      <c r="I21" s="360">
        <f>H21</f>
        <v>400000</v>
      </c>
      <c r="J21" s="360">
        <f>H21</f>
        <v>400000</v>
      </c>
      <c r="K21" s="360">
        <f>H21*12+I21+J21</f>
        <v>5600000</v>
      </c>
      <c r="L21" s="360">
        <f>K21*$E$31</f>
        <v>420000</v>
      </c>
      <c r="M21" s="360">
        <f>K21*$E$32</f>
        <v>280000</v>
      </c>
      <c r="N21" s="360">
        <f>K21*$E$33</f>
        <v>5600</v>
      </c>
      <c r="O21" s="360">
        <f>K21*$E$34</f>
        <v>1400</v>
      </c>
      <c r="P21" s="360">
        <f t="shared" si="9"/>
        <v>380000</v>
      </c>
      <c r="Q21" s="360">
        <f>K21+L21+M21+N21+O21+P21</f>
        <v>6687000</v>
      </c>
      <c r="R21" s="361">
        <f>Q21/General!$D$2</f>
        <v>167175</v>
      </c>
      <c r="S21" s="83"/>
      <c r="T21" s="360"/>
      <c r="U21" s="360"/>
      <c r="V21" s="360"/>
      <c r="W21" s="360"/>
      <c r="X21" s="360"/>
      <c r="Y21" s="360"/>
      <c r="Z21" s="360"/>
      <c r="AA21" s="360"/>
      <c r="AB21" s="360"/>
      <c r="AC21" s="360"/>
      <c r="AD21" s="360"/>
    </row>
    <row r="22" spans="1:32" ht="15" customHeight="1" x14ac:dyDescent="0.25">
      <c r="A22" s="496" t="s">
        <v>117</v>
      </c>
      <c r="B22" s="495" t="s">
        <v>111</v>
      </c>
      <c r="C22" s="495"/>
      <c r="D22" s="495"/>
      <c r="E22" s="363" t="s">
        <v>124</v>
      </c>
      <c r="F22" s="358">
        <v>1</v>
      </c>
      <c r="G22" s="359">
        <v>200000</v>
      </c>
      <c r="H22" s="360">
        <f t="shared" si="0"/>
        <v>200000</v>
      </c>
      <c r="I22" s="360">
        <f t="shared" si="1"/>
        <v>200000</v>
      </c>
      <c r="J22" s="360">
        <f t="shared" si="2"/>
        <v>200000</v>
      </c>
      <c r="K22" s="360">
        <f t="shared" si="3"/>
        <v>2800000</v>
      </c>
      <c r="L22" s="360">
        <f>K22*$E$31</f>
        <v>210000</v>
      </c>
      <c r="M22" s="360">
        <f>K22*$E$32</f>
        <v>140000</v>
      </c>
      <c r="N22" s="360">
        <f>K22*$E$33</f>
        <v>2800</v>
      </c>
      <c r="O22" s="360">
        <f>K22*$E$34</f>
        <v>700</v>
      </c>
      <c r="P22" s="360">
        <f t="shared" si="9"/>
        <v>190000</v>
      </c>
      <c r="Q22" s="360">
        <f t="shared" si="8"/>
        <v>3343500</v>
      </c>
      <c r="R22" s="362">
        <f>Q22/General!$D$2</f>
        <v>83587.5</v>
      </c>
      <c r="S22" s="368"/>
      <c r="T22" s="360"/>
      <c r="U22" s="360"/>
      <c r="V22" s="360"/>
      <c r="W22" s="360"/>
    </row>
    <row r="23" spans="1:32" x14ac:dyDescent="0.25">
      <c r="A23" s="496"/>
      <c r="B23" s="495" t="s">
        <v>112</v>
      </c>
      <c r="C23" s="495"/>
      <c r="D23" s="495"/>
      <c r="E23" s="363" t="s">
        <v>124</v>
      </c>
      <c r="F23" s="358">
        <v>1</v>
      </c>
      <c r="G23" s="359">
        <v>120000</v>
      </c>
      <c r="H23" s="360">
        <f t="shared" si="0"/>
        <v>120000</v>
      </c>
      <c r="I23" s="360">
        <f t="shared" si="1"/>
        <v>120000</v>
      </c>
      <c r="J23" s="360">
        <f t="shared" si="2"/>
        <v>120000</v>
      </c>
      <c r="K23" s="360">
        <f t="shared" si="3"/>
        <v>1680000</v>
      </c>
      <c r="L23" s="360">
        <f>K23*$E$31</f>
        <v>126000</v>
      </c>
      <c r="M23" s="360">
        <f>K23*$E$32</f>
        <v>84000</v>
      </c>
      <c r="N23" s="360">
        <f>K23*$E$33</f>
        <v>1680</v>
      </c>
      <c r="O23" s="360">
        <f>K23*$E$34</f>
        <v>420</v>
      </c>
      <c r="P23" s="360">
        <f t="shared" si="9"/>
        <v>114000</v>
      </c>
      <c r="Q23" s="360">
        <f t="shared" si="8"/>
        <v>2006100</v>
      </c>
      <c r="R23" s="362">
        <f>Q23/General!$D$2</f>
        <v>50152.5</v>
      </c>
      <c r="S23" s="368"/>
      <c r="T23" s="360"/>
      <c r="U23" s="360"/>
      <c r="V23" s="360"/>
      <c r="W23" s="360"/>
    </row>
    <row r="24" spans="1:32" x14ac:dyDescent="0.25">
      <c r="A24" s="496"/>
      <c r="B24" s="495" t="s">
        <v>113</v>
      </c>
      <c r="C24" s="495"/>
      <c r="D24" s="495"/>
      <c r="E24" s="363" t="s">
        <v>124</v>
      </c>
      <c r="F24" s="358">
        <v>1</v>
      </c>
      <c r="G24" s="359">
        <v>80000</v>
      </c>
      <c r="H24" s="360">
        <f t="shared" si="0"/>
        <v>80000</v>
      </c>
      <c r="I24" s="360">
        <f t="shared" si="1"/>
        <v>80000</v>
      </c>
      <c r="J24" s="360">
        <f t="shared" si="2"/>
        <v>80000</v>
      </c>
      <c r="K24" s="360">
        <f t="shared" si="3"/>
        <v>1120000</v>
      </c>
      <c r="L24" s="360">
        <f>K24*$E$31</f>
        <v>84000</v>
      </c>
      <c r="M24" s="360">
        <f>K24*$E$32</f>
        <v>56000</v>
      </c>
      <c r="N24" s="360">
        <f>K24*$E$33</f>
        <v>1120</v>
      </c>
      <c r="O24" s="360">
        <f>K24*$E$34</f>
        <v>280</v>
      </c>
      <c r="P24" s="360">
        <f t="shared" si="9"/>
        <v>76000</v>
      </c>
      <c r="Q24" s="360">
        <f t="shared" si="8"/>
        <v>1337400</v>
      </c>
      <c r="R24" s="362">
        <f>Q24/General!$D$2</f>
        <v>33435</v>
      </c>
      <c r="S24" s="368"/>
      <c r="T24" s="360"/>
      <c r="U24" s="360"/>
      <c r="V24" s="360"/>
      <c r="W24" s="360"/>
    </row>
    <row r="25" spans="1:32" ht="15.75" thickBot="1" x14ac:dyDescent="0.3">
      <c r="A25" s="496"/>
      <c r="B25" s="495" t="s">
        <v>115</v>
      </c>
      <c r="C25" s="495"/>
      <c r="D25" s="495"/>
      <c r="E25" s="363" t="s">
        <v>126</v>
      </c>
      <c r="F25" s="358">
        <v>1</v>
      </c>
      <c r="G25" s="359">
        <v>100000</v>
      </c>
      <c r="H25" s="360">
        <f t="shared" si="0"/>
        <v>100000</v>
      </c>
      <c r="I25" s="360">
        <f t="shared" si="1"/>
        <v>100000</v>
      </c>
      <c r="J25" s="360">
        <f t="shared" si="2"/>
        <v>100000</v>
      </c>
      <c r="K25" s="360">
        <f t="shared" si="3"/>
        <v>1400000</v>
      </c>
      <c r="L25" s="360">
        <f>K25*$E$31</f>
        <v>105000</v>
      </c>
      <c r="M25" s="360">
        <f>K25*$E$32</f>
        <v>70000</v>
      </c>
      <c r="N25" s="360">
        <f>K25*$E$33</f>
        <v>1400</v>
      </c>
      <c r="O25" s="360">
        <f>K25*$E$34</f>
        <v>350</v>
      </c>
      <c r="P25" s="360">
        <f>H25*95%</f>
        <v>95000</v>
      </c>
      <c r="Q25" s="360">
        <f t="shared" si="8"/>
        <v>1671750</v>
      </c>
      <c r="R25" s="362">
        <f>Q25/General!$D$2</f>
        <v>41793.75</v>
      </c>
      <c r="S25" s="368"/>
      <c r="T25" s="364"/>
      <c r="U25" s="364"/>
      <c r="V25" s="364"/>
      <c r="W25" s="364"/>
      <c r="X25" s="364"/>
      <c r="Y25" s="364"/>
      <c r="Z25" s="364"/>
      <c r="AA25" s="364"/>
      <c r="AB25" s="364"/>
      <c r="AC25" s="364"/>
      <c r="AD25" s="364"/>
    </row>
    <row r="26" spans="1:32" ht="15.75" thickBot="1" x14ac:dyDescent="0.3">
      <c r="A26" s="261"/>
      <c r="B26" s="356"/>
      <c r="C26" s="356"/>
      <c r="D26" s="356"/>
      <c r="E26" s="369"/>
      <c r="F26" s="369"/>
      <c r="G26" s="369"/>
      <c r="H26" s="366">
        <f>SUM(H21:H25)</f>
        <v>900000</v>
      </c>
      <c r="I26" s="366">
        <f t="shared" ref="I26:R26" si="11">SUM(I21:I25)</f>
        <v>900000</v>
      </c>
      <c r="J26" s="366">
        <f t="shared" si="11"/>
        <v>900000</v>
      </c>
      <c r="K26" s="366">
        <f t="shared" si="11"/>
        <v>12600000</v>
      </c>
      <c r="L26" s="366">
        <f t="shared" si="11"/>
        <v>945000</v>
      </c>
      <c r="M26" s="366">
        <f t="shared" si="11"/>
        <v>630000</v>
      </c>
      <c r="N26" s="366">
        <f t="shared" si="11"/>
        <v>12600</v>
      </c>
      <c r="O26" s="366">
        <f t="shared" si="11"/>
        <v>3150</v>
      </c>
      <c r="P26" s="366">
        <f t="shared" si="9"/>
        <v>855000</v>
      </c>
      <c r="Q26" s="366">
        <f t="shared" si="11"/>
        <v>15045750</v>
      </c>
      <c r="R26" s="480">
        <f t="shared" si="11"/>
        <v>376143.75</v>
      </c>
      <c r="S26" s="368"/>
      <c r="T26" s="360"/>
      <c r="U26" s="360"/>
      <c r="V26" s="360"/>
      <c r="W26" s="360"/>
      <c r="X26" s="360"/>
      <c r="Y26" s="360"/>
      <c r="Z26" s="360"/>
      <c r="AA26" s="360"/>
      <c r="AB26" s="360"/>
      <c r="AC26" s="360"/>
      <c r="AD26" s="360"/>
      <c r="AE26" s="360"/>
    </row>
    <row r="27" spans="1:32" ht="15.75" thickBot="1" x14ac:dyDescent="0.3">
      <c r="D27" s="370" t="s">
        <v>114</v>
      </c>
      <c r="E27" s="371"/>
      <c r="F27" s="372">
        <f>SUM(F3:F25)</f>
        <v>37</v>
      </c>
      <c r="G27" s="373"/>
      <c r="H27" s="366">
        <f>H20+H26</f>
        <v>4144000</v>
      </c>
      <c r="I27" s="366">
        <f t="shared" ref="I27:R27" si="12">I20+I26</f>
        <v>4144000</v>
      </c>
      <c r="J27" s="366">
        <f t="shared" si="12"/>
        <v>4144000</v>
      </c>
      <c r="K27" s="366">
        <f t="shared" si="12"/>
        <v>58016000</v>
      </c>
      <c r="L27" s="366">
        <f t="shared" si="12"/>
        <v>4351200</v>
      </c>
      <c r="M27" s="366">
        <f t="shared" si="12"/>
        <v>2900800</v>
      </c>
      <c r="N27" s="366">
        <f t="shared" si="12"/>
        <v>58016</v>
      </c>
      <c r="O27" s="366">
        <f t="shared" si="12"/>
        <v>14504</v>
      </c>
      <c r="P27" s="366">
        <f t="shared" si="12"/>
        <v>3936800</v>
      </c>
      <c r="Q27" s="366">
        <f t="shared" si="12"/>
        <v>69277320</v>
      </c>
      <c r="R27" s="367">
        <f t="shared" si="12"/>
        <v>1731933</v>
      </c>
      <c r="S27" s="374"/>
      <c r="T27" s="360"/>
      <c r="U27" s="360"/>
      <c r="V27" s="360"/>
      <c r="W27" s="360"/>
      <c r="X27" s="360"/>
      <c r="Y27" s="360"/>
      <c r="Z27" s="360"/>
      <c r="AA27" s="360"/>
      <c r="AB27" s="360"/>
      <c r="AC27" s="360"/>
      <c r="AD27" s="360"/>
      <c r="AE27" s="360"/>
      <c r="AF27" s="360"/>
    </row>
    <row r="28" spans="1:32" x14ac:dyDescent="0.25">
      <c r="H28" s="375"/>
      <c r="T28" s="375"/>
      <c r="U28" s="375"/>
      <c r="V28" s="375"/>
      <c r="W28" s="375"/>
      <c r="X28" s="375"/>
      <c r="Y28" s="375"/>
      <c r="Z28" s="375"/>
      <c r="AA28" s="375"/>
      <c r="AB28" s="375"/>
      <c r="AC28" s="375"/>
      <c r="AD28" s="375"/>
    </row>
    <row r="30" spans="1:32" x14ac:dyDescent="0.25">
      <c r="D30" s="264" t="s">
        <v>127</v>
      </c>
    </row>
    <row r="31" spans="1:32" x14ac:dyDescent="0.25">
      <c r="D31" s="253" t="s">
        <v>128</v>
      </c>
      <c r="E31" s="376">
        <v>7.4999999999999997E-2</v>
      </c>
    </row>
    <row r="32" spans="1:32" x14ac:dyDescent="0.25">
      <c r="D32" s="253" t="s">
        <v>129</v>
      </c>
      <c r="E32" s="260">
        <v>0.05</v>
      </c>
      <c r="F32" s="253" t="s">
        <v>130</v>
      </c>
      <c r="G32" s="253" t="s">
        <v>142</v>
      </c>
    </row>
    <row r="33" spans="4:5" x14ac:dyDescent="0.25">
      <c r="D33" s="253" t="s">
        <v>131</v>
      </c>
      <c r="E33" s="376">
        <v>1E-3</v>
      </c>
    </row>
    <row r="34" spans="4:5" x14ac:dyDescent="0.25">
      <c r="D34" s="253" t="s">
        <v>132</v>
      </c>
      <c r="E34" s="377">
        <v>2.5000000000000001E-4</v>
      </c>
    </row>
  </sheetData>
  <mergeCells count="26">
    <mergeCell ref="B23:D23"/>
    <mergeCell ref="B24:D24"/>
    <mergeCell ref="B18:B19"/>
    <mergeCell ref="A21:D21"/>
    <mergeCell ref="A22:A25"/>
    <mergeCell ref="A3:A19"/>
    <mergeCell ref="D3:D4"/>
    <mergeCell ref="D6:D7"/>
    <mergeCell ref="C6:C8"/>
    <mergeCell ref="C3:C5"/>
    <mergeCell ref="C9:D9"/>
    <mergeCell ref="C10:D10"/>
    <mergeCell ref="C11:D11"/>
    <mergeCell ref="C12:D12"/>
    <mergeCell ref="B25:D25"/>
    <mergeCell ref="B16:B17"/>
    <mergeCell ref="B12:B14"/>
    <mergeCell ref="C13:C14"/>
    <mergeCell ref="B10:B11"/>
    <mergeCell ref="B3:B9"/>
    <mergeCell ref="C15:D15"/>
    <mergeCell ref="C16:D16"/>
    <mergeCell ref="C17:D17"/>
    <mergeCell ref="C18:D18"/>
    <mergeCell ref="C19:D19"/>
    <mergeCell ref="B22:D22"/>
  </mergeCells>
  <pageMargins left="0.7" right="0.7" top="0.75" bottom="0.75" header="0.3" footer="0.3"/>
  <pageSetup orientation="portrait" horizontalDpi="300" r:id="rId1"/>
  <ignoredErrors>
    <ignoredError sqref="I20:O20 Q20"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General</vt:lpstr>
      <vt:lpstr>Ingresos</vt:lpstr>
      <vt:lpstr>Inv Equipos</vt:lpstr>
      <vt:lpstr>Otras IA Tangibles</vt:lpstr>
      <vt:lpstr>IA Intangibles</vt:lpstr>
      <vt:lpstr>INA</vt:lpstr>
      <vt:lpstr>Inv Totales</vt:lpstr>
      <vt:lpstr>Cuadro Inv</vt:lpstr>
      <vt:lpstr>RRHH</vt:lpstr>
      <vt:lpstr>Amort</vt:lpstr>
      <vt:lpstr>MP EE Ins</vt:lpstr>
      <vt:lpstr>Sensibilidad</vt:lpstr>
      <vt:lpstr>Costos</vt:lpstr>
      <vt:lpstr>Costos Totales</vt:lpstr>
      <vt:lpstr>A Económico</vt:lpstr>
      <vt:lpstr>Pto Eq</vt:lpstr>
      <vt:lpstr>FF</vt:lpstr>
      <vt:lpstr>Préstamo</vt:lpstr>
      <vt:lpstr>Resultados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Ferro</dc:creator>
  <cp:lastModifiedBy>Santiago Ferro</cp:lastModifiedBy>
  <dcterms:created xsi:type="dcterms:W3CDTF">2021-11-26T23:28:14Z</dcterms:created>
  <dcterms:modified xsi:type="dcterms:W3CDTF">2023-10-26T21:27:38Z</dcterms:modified>
</cp:coreProperties>
</file>