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silvana.martinez\Downloads\"/>
    </mc:Choice>
  </mc:AlternateContent>
  <xr:revisionPtr revIDLastSave="0" documentId="13_ncr:1_{2D868397-41EF-47D4-955B-6B455F144E66}" xr6:coauthVersionLast="47" xr6:coauthVersionMax="47" xr10:uidLastSave="{00000000-0000-0000-0000-000000000000}"/>
  <bookViews>
    <workbookView xWindow="-120" yWindow="-120" windowWidth="29040" windowHeight="15840" tabRatio="500" activeTab="1" xr2:uid="{00000000-000D-0000-FFFF-FFFF00000000}"/>
  </bookViews>
  <sheets>
    <sheet name="Capacidad" sheetId="1" r:id="rId1"/>
    <sheet name="Gantt" sheetId="2" r:id="rId2"/>
    <sheet name="Ejemplo libro" sheetId="3" state="hidden" r:id="rId3"/>
    <sheet name="Ejercicio libro - 1" sheetId="4" state="hidden" r:id="rId4"/>
    <sheet name="Ejercicio libro - 3" sheetId="5" state="hidden" r:id="rId5"/>
    <sheet name="Gantt - 1" sheetId="6" state="hidden" r:id="rId6"/>
    <sheet name="Gantt - 2" sheetId="7" state="hidden" r:id="rId7"/>
    <sheet name="Reglas de prioridad" sheetId="8" r:id="rId8"/>
    <sheet name="Proyectos" sheetId="9" state="hidden" r:id="rId9"/>
    <sheet name="Inventario" sheetId="10" r:id="rId10"/>
    <sheet name="Inventario - 1" sheetId="11" state="hidden" r:id="rId11"/>
  </sheets>
  <definedNames>
    <definedName name="_xlnm.Print_Area" localSheetId="2">'Ejemplo libro'!$A$1:$V$15</definedName>
    <definedName name="_xlnm.Print_Area" localSheetId="3">'Ejercicio libro - 1'!$A$1:$AA$17</definedName>
    <definedName name="_xlnm.Print_Area" localSheetId="4">'Ejercicio libro - 3'!$A$1:$AL$18</definedName>
    <definedName name="_xlnm.Print_Area" localSheetId="1">Gantt!$B$2:$AL$21</definedName>
    <definedName name="_xlnm.Print_Area" localSheetId="5">'Gantt - 1'!$B$21:$K$56</definedName>
    <definedName name="_xlnm.Print_Area" localSheetId="6">'Gantt - 2'!$A$1:$AL$20</definedName>
    <definedName name="Clase">Inventario!$O$1:$O$5</definedName>
    <definedName name="Trabajo">'Reglas de prioridad'!$B$3:$G$9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P27" i="2" l="1"/>
  <c r="D44" i="11"/>
  <c r="D42" i="11"/>
  <c r="D39" i="11"/>
  <c r="D37" i="11"/>
  <c r="I22" i="11"/>
  <c r="I23" i="11" s="1"/>
  <c r="D22" i="11"/>
  <c r="D25" i="11" s="1"/>
  <c r="D27" i="11" s="1"/>
  <c r="K21" i="11"/>
  <c r="D9" i="11"/>
  <c r="D10" i="11" s="1"/>
  <c r="D8" i="11"/>
  <c r="D43" i="11" s="1"/>
  <c r="D4" i="11"/>
  <c r="D13" i="11" s="1"/>
  <c r="D39" i="10"/>
  <c r="D37" i="10"/>
  <c r="D35" i="10"/>
  <c r="D34" i="10"/>
  <c r="D26" i="10"/>
  <c r="D25" i="10"/>
  <c r="D29" i="10" s="1"/>
  <c r="D24" i="10"/>
  <c r="D27" i="10" s="1"/>
  <c r="D21" i="10"/>
  <c r="K8" i="10"/>
  <c r="D8" i="10"/>
  <c r="D14" i="10" s="1"/>
  <c r="K7" i="10"/>
  <c r="K6" i="10"/>
  <c r="K5" i="10"/>
  <c r="K4" i="10"/>
  <c r="K9" i="10" s="1"/>
  <c r="G22" i="9"/>
  <c r="G21" i="9"/>
  <c r="G20" i="9"/>
  <c r="G19" i="9"/>
  <c r="F10" i="9"/>
  <c r="G9" i="9"/>
  <c r="F9" i="9"/>
  <c r="G8" i="9"/>
  <c r="F8" i="9"/>
  <c r="G7" i="9"/>
  <c r="F7" i="9"/>
  <c r="G6" i="9"/>
  <c r="F6" i="9"/>
  <c r="G5" i="9"/>
  <c r="F5" i="9"/>
  <c r="G4" i="9"/>
  <c r="G10" i="9" s="1"/>
  <c r="F4" i="9"/>
  <c r="E14" i="8"/>
  <c r="J5" i="8" s="1"/>
  <c r="B14" i="8"/>
  <c r="B15" i="8" s="1"/>
  <c r="E13" i="8"/>
  <c r="D13" i="8"/>
  <c r="C13" i="8"/>
  <c r="F9" i="8"/>
  <c r="F8" i="8"/>
  <c r="F7" i="8"/>
  <c r="F6" i="8"/>
  <c r="F5" i="8"/>
  <c r="M4" i="8"/>
  <c r="J4" i="8"/>
  <c r="K4" i="8" s="1"/>
  <c r="F4" i="8"/>
  <c r="F13" i="8" s="1"/>
  <c r="T17" i="7"/>
  <c r="Q17" i="7"/>
  <c r="H17" i="7"/>
  <c r="H23" i="7" s="1"/>
  <c r="H22" i="7" s="1"/>
  <c r="T14" i="6"/>
  <c r="Q14" i="6"/>
  <c r="H13" i="6"/>
  <c r="H19" i="6" s="1"/>
  <c r="H18" i="6" s="1"/>
  <c r="T35" i="5"/>
  <c r="Q35" i="5"/>
  <c r="H35" i="5"/>
  <c r="H41" i="5" s="1"/>
  <c r="H40" i="5" s="1"/>
  <c r="E29" i="5"/>
  <c r="T15" i="5"/>
  <c r="Q15" i="5"/>
  <c r="H13" i="5"/>
  <c r="H19" i="5" s="1"/>
  <c r="H18" i="5" s="1"/>
  <c r="E8" i="5"/>
  <c r="T13" i="4"/>
  <c r="Q13" i="4"/>
  <c r="H11" i="4"/>
  <c r="H17" i="4" s="1"/>
  <c r="H16" i="4" s="1"/>
  <c r="H11" i="3"/>
  <c r="G41" i="2"/>
  <c r="F41" i="2"/>
  <c r="E41" i="2"/>
  <c r="D41" i="2"/>
  <c r="C41" i="2"/>
  <c r="G40" i="2"/>
  <c r="F40" i="2"/>
  <c r="E40" i="2"/>
  <c r="D40" i="2"/>
  <c r="C40" i="2"/>
  <c r="G39" i="2"/>
  <c r="F39" i="2"/>
  <c r="E39" i="2"/>
  <c r="D39" i="2"/>
  <c r="C39" i="2"/>
  <c r="G38" i="2"/>
  <c r="F38" i="2"/>
  <c r="E38" i="2"/>
  <c r="D38" i="2"/>
  <c r="C38" i="2"/>
  <c r="G37" i="2"/>
  <c r="D37" i="2"/>
  <c r="C37" i="2"/>
  <c r="E36" i="2"/>
  <c r="D36" i="2"/>
  <c r="G29" i="2"/>
  <c r="F29" i="2"/>
  <c r="F37" i="2" s="1"/>
  <c r="E29" i="2"/>
  <c r="E37" i="2" s="1"/>
  <c r="D29" i="2"/>
  <c r="C29" i="2"/>
  <c r="G28" i="2"/>
  <c r="G36" i="2" s="1"/>
  <c r="F28" i="2"/>
  <c r="F36" i="2" s="1"/>
  <c r="E28" i="2"/>
  <c r="D28" i="2"/>
  <c r="C28" i="2"/>
  <c r="C36" i="2" s="1"/>
  <c r="AL18" i="2"/>
  <c r="AK18" i="2"/>
  <c r="AJ18" i="2"/>
  <c r="AI18" i="2"/>
  <c r="AH18" i="2"/>
  <c r="AG18" i="2"/>
  <c r="AF18" i="2"/>
  <c r="AE18" i="2"/>
  <c r="AD18" i="2"/>
  <c r="AC18" i="2"/>
  <c r="AB18" i="2"/>
  <c r="AA18" i="2"/>
  <c r="Z18" i="2"/>
  <c r="Y18" i="2"/>
  <c r="X18" i="2"/>
  <c r="W18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AL17" i="2"/>
  <c r="AK17" i="2"/>
  <c r="AJ17" i="2"/>
  <c r="AI17" i="2"/>
  <c r="AH17" i="2"/>
  <c r="AG17" i="2"/>
  <c r="AF17" i="2"/>
  <c r="AE17" i="2"/>
  <c r="AD17" i="2"/>
  <c r="AC17" i="2"/>
  <c r="AB17" i="2"/>
  <c r="AA17" i="2"/>
  <c r="Z17" i="2"/>
  <c r="Y17" i="2"/>
  <c r="X17" i="2"/>
  <c r="W17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C17" i="2"/>
  <c r="AL16" i="2"/>
  <c r="AK16" i="2"/>
  <c r="AJ16" i="2"/>
  <c r="AI16" i="2"/>
  <c r="AH16" i="2"/>
  <c r="AG16" i="2"/>
  <c r="AF16" i="2"/>
  <c r="AE16" i="2"/>
  <c r="AD16" i="2"/>
  <c r="AC16" i="2"/>
  <c r="AB16" i="2"/>
  <c r="AA16" i="2"/>
  <c r="Z16" i="2"/>
  <c r="Y16" i="2"/>
  <c r="X16" i="2"/>
  <c r="W16" i="2"/>
  <c r="V16" i="2"/>
  <c r="U16" i="2"/>
  <c r="T16" i="2"/>
  <c r="S16" i="2"/>
  <c r="R16" i="2"/>
  <c r="Q16" i="2"/>
  <c r="P16" i="2"/>
  <c r="O16" i="2"/>
  <c r="N16" i="2"/>
  <c r="M16" i="2"/>
  <c r="L16" i="2"/>
  <c r="K16" i="2"/>
  <c r="J16" i="2"/>
  <c r="I16" i="2"/>
  <c r="H16" i="2"/>
  <c r="G16" i="2"/>
  <c r="F16" i="2"/>
  <c r="E16" i="2"/>
  <c r="D16" i="2"/>
  <c r="C16" i="2"/>
  <c r="AP15" i="2"/>
  <c r="AO15" i="2"/>
  <c r="AL15" i="2"/>
  <c r="AK15" i="2"/>
  <c r="AJ15" i="2"/>
  <c r="AI15" i="2"/>
  <c r="AH15" i="2"/>
  <c r="AG15" i="2"/>
  <c r="AF15" i="2"/>
  <c r="AE15" i="2"/>
  <c r="AD15" i="2"/>
  <c r="AC15" i="2"/>
  <c r="AB15" i="2"/>
  <c r="AA15" i="2"/>
  <c r="Z15" i="2"/>
  <c r="Y15" i="2"/>
  <c r="X15" i="2"/>
  <c r="W15" i="2"/>
  <c r="V15" i="2"/>
  <c r="U15" i="2"/>
  <c r="T15" i="2"/>
  <c r="S15" i="2"/>
  <c r="R15" i="2"/>
  <c r="Q15" i="2"/>
  <c r="P15" i="2"/>
  <c r="O15" i="2"/>
  <c r="N15" i="2"/>
  <c r="M15" i="2"/>
  <c r="L15" i="2"/>
  <c r="K15" i="2"/>
  <c r="J15" i="2"/>
  <c r="I15" i="2"/>
  <c r="H15" i="2"/>
  <c r="G15" i="2"/>
  <c r="F15" i="2"/>
  <c r="E15" i="2"/>
  <c r="D15" i="2"/>
  <c r="C15" i="2"/>
  <c r="AL14" i="2"/>
  <c r="AK14" i="2"/>
  <c r="AJ14" i="2"/>
  <c r="AI14" i="2"/>
  <c r="AH14" i="2"/>
  <c r="AG14" i="2"/>
  <c r="AF14" i="2"/>
  <c r="AE14" i="2"/>
  <c r="AD14" i="2"/>
  <c r="AC14" i="2"/>
  <c r="AB14" i="2"/>
  <c r="AA14" i="2"/>
  <c r="Z14" i="2"/>
  <c r="Y14" i="2"/>
  <c r="X14" i="2"/>
  <c r="W14" i="2"/>
  <c r="V14" i="2"/>
  <c r="U14" i="2"/>
  <c r="T14" i="2"/>
  <c r="S14" i="2"/>
  <c r="R14" i="2"/>
  <c r="Q14" i="2"/>
  <c r="P14" i="2"/>
  <c r="O14" i="2"/>
  <c r="N14" i="2"/>
  <c r="M14" i="2"/>
  <c r="L14" i="2"/>
  <c r="K14" i="2"/>
  <c r="J14" i="2"/>
  <c r="I14" i="2"/>
  <c r="H14" i="2"/>
  <c r="G14" i="2"/>
  <c r="F14" i="2"/>
  <c r="E14" i="2"/>
  <c r="D14" i="2"/>
  <c r="C14" i="2"/>
  <c r="AO13" i="2"/>
  <c r="AL13" i="2"/>
  <c r="AK13" i="2"/>
  <c r="AJ13" i="2"/>
  <c r="AI13" i="2"/>
  <c r="AH13" i="2"/>
  <c r="AG13" i="2"/>
  <c r="AF13" i="2"/>
  <c r="AE13" i="2"/>
  <c r="AD13" i="2"/>
  <c r="AC13" i="2"/>
  <c r="AB13" i="2"/>
  <c r="AA13" i="2"/>
  <c r="Z13" i="2"/>
  <c r="Y13" i="2"/>
  <c r="X13" i="2"/>
  <c r="W13" i="2"/>
  <c r="V13" i="2"/>
  <c r="U13" i="2"/>
  <c r="T13" i="2"/>
  <c r="S13" i="2"/>
  <c r="R13" i="2"/>
  <c r="Q13" i="2"/>
  <c r="P13" i="2"/>
  <c r="O13" i="2"/>
  <c r="N13" i="2"/>
  <c r="M13" i="2"/>
  <c r="L13" i="2"/>
  <c r="K13" i="2"/>
  <c r="J13" i="2"/>
  <c r="I13" i="2"/>
  <c r="H13" i="2"/>
  <c r="G13" i="2"/>
  <c r="F13" i="2"/>
  <c r="E13" i="2"/>
  <c r="D13" i="2"/>
  <c r="C13" i="2"/>
  <c r="AL10" i="2"/>
  <c r="AK10" i="2"/>
  <c r="AJ10" i="2"/>
  <c r="AI10" i="2"/>
  <c r="AH10" i="2"/>
  <c r="AG10" i="2"/>
  <c r="AF10" i="2"/>
  <c r="AE10" i="2"/>
  <c r="AD10" i="2"/>
  <c r="AC10" i="2"/>
  <c r="AB10" i="2"/>
  <c r="AA10" i="2"/>
  <c r="Z10" i="2"/>
  <c r="Y10" i="2"/>
  <c r="X10" i="2"/>
  <c r="W10" i="2"/>
  <c r="V10" i="2"/>
  <c r="U10" i="2"/>
  <c r="T10" i="2"/>
  <c r="S10" i="2"/>
  <c r="R10" i="2"/>
  <c r="Q10" i="2"/>
  <c r="P10" i="2"/>
  <c r="O10" i="2"/>
  <c r="N10" i="2"/>
  <c r="M10" i="2"/>
  <c r="L10" i="2"/>
  <c r="K10" i="2"/>
  <c r="J10" i="2"/>
  <c r="I10" i="2"/>
  <c r="H10" i="2"/>
  <c r="G10" i="2"/>
  <c r="F10" i="2"/>
  <c r="E10" i="2"/>
  <c r="D10" i="2"/>
  <c r="C10" i="2"/>
  <c r="AM10" i="2" s="1"/>
  <c r="AQ9" i="2"/>
  <c r="AP9" i="2"/>
  <c r="AM9" i="2"/>
  <c r="AO18" i="2" s="1"/>
  <c r="AP18" i="2" s="1"/>
  <c r="AQ8" i="2"/>
  <c r="AP8" i="2"/>
  <c r="AM8" i="2"/>
  <c r="AO17" i="2" s="1"/>
  <c r="AP17" i="2" s="1"/>
  <c r="AQ7" i="2"/>
  <c r="AP7" i="2"/>
  <c r="AM7" i="2"/>
  <c r="AO16" i="2" s="1"/>
  <c r="AP16" i="2" s="1"/>
  <c r="AQ6" i="2"/>
  <c r="AP6" i="2"/>
  <c r="AM6" i="2"/>
  <c r="AQ5" i="2"/>
  <c r="AQ10" i="2" s="1"/>
  <c r="AP5" i="2"/>
  <c r="AP10" i="2" s="1"/>
  <c r="AM5" i="2"/>
  <c r="AM4" i="2"/>
  <c r="B32" i="1"/>
  <c r="B31" i="1"/>
  <c r="B27" i="1"/>
  <c r="B30" i="1" s="1"/>
  <c r="C13" i="1"/>
  <c r="C12" i="1"/>
  <c r="C11" i="1"/>
  <c r="D10" i="1"/>
  <c r="C10" i="1"/>
  <c r="L6" i="10" l="1"/>
  <c r="L4" i="10"/>
  <c r="L9" i="10" s="1"/>
  <c r="F15" i="8"/>
  <c r="E15" i="8"/>
  <c r="J6" i="8" s="1"/>
  <c r="C15" i="8"/>
  <c r="B16" i="8"/>
  <c r="D15" i="8"/>
  <c r="L5" i="10"/>
  <c r="L8" i="10"/>
  <c r="L21" i="11"/>
  <c r="M25" i="11" s="1"/>
  <c r="AP14" i="2"/>
  <c r="AP21" i="2"/>
  <c r="AP13" i="2"/>
  <c r="M5" i="8"/>
  <c r="K5" i="8"/>
  <c r="L4" i="8"/>
  <c r="C13" i="9"/>
  <c r="L7" i="10"/>
  <c r="I24" i="11"/>
  <c r="K23" i="11"/>
  <c r="L23" i="11" s="1"/>
  <c r="M27" i="11" s="1"/>
  <c r="F14" i="8"/>
  <c r="K22" i="11"/>
  <c r="L22" i="11" s="1"/>
  <c r="M26" i="11" s="1"/>
  <c r="B19" i="1"/>
  <c r="B22" i="1" s="1"/>
  <c r="B23" i="1" s="1"/>
  <c r="C14" i="8"/>
  <c r="D9" i="10"/>
  <c r="D10" i="10" s="1"/>
  <c r="D38" i="10" s="1"/>
  <c r="D13" i="10"/>
  <c r="D15" i="10" s="1"/>
  <c r="D28" i="10"/>
  <c r="D26" i="11"/>
  <c r="D14" i="8"/>
  <c r="D14" i="11"/>
  <c r="D15" i="11" s="1"/>
  <c r="K6" i="8" l="1"/>
  <c r="M6" i="8"/>
  <c r="K24" i="11"/>
  <c r="L24" i="11" s="1"/>
  <c r="M28" i="11" s="1"/>
  <c r="I25" i="11"/>
  <c r="L5" i="8"/>
  <c r="N4" i="8"/>
  <c r="AP19" i="2"/>
  <c r="AP26" i="2" s="1"/>
  <c r="D16" i="8"/>
  <c r="B17" i="8"/>
  <c r="C16" i="8"/>
  <c r="E16" i="8"/>
  <c r="J7" i="8" s="1"/>
  <c r="F16" i="8"/>
  <c r="D41" i="10"/>
  <c r="D42" i="10" s="1"/>
  <c r="D43" i="10" s="1"/>
  <c r="D40" i="10"/>
  <c r="D44" i="10" s="1"/>
  <c r="AP24" i="2"/>
  <c r="B18" i="8" l="1"/>
  <c r="C17" i="8"/>
  <c r="F17" i="8"/>
  <c r="D17" i="8"/>
  <c r="E17" i="8"/>
  <c r="J8" i="8" s="1"/>
  <c r="L6" i="8"/>
  <c r="N5" i="8"/>
  <c r="M7" i="8"/>
  <c r="K7" i="8"/>
  <c r="I26" i="11"/>
  <c r="K25" i="11"/>
  <c r="L25" i="11" s="1"/>
  <c r="M29" i="11" s="1"/>
  <c r="K8" i="8" l="1"/>
  <c r="M8" i="8"/>
  <c r="F18" i="8"/>
  <c r="E18" i="8"/>
  <c r="J9" i="8" s="1"/>
  <c r="C18" i="8"/>
  <c r="D18" i="8"/>
  <c r="L7" i="8"/>
  <c r="N6" i="8"/>
  <c r="I27" i="11"/>
  <c r="K26" i="11"/>
  <c r="L26" i="11" s="1"/>
  <c r="M30" i="11" s="1"/>
  <c r="M9" i="8" l="1"/>
  <c r="K9" i="8"/>
  <c r="K10" i="8" s="1"/>
  <c r="I28" i="11"/>
  <c r="K27" i="11"/>
  <c r="L27" i="11" s="1"/>
  <c r="M31" i="11" s="1"/>
  <c r="L8" i="8"/>
  <c r="N7" i="8"/>
  <c r="L9" i="8" l="1"/>
  <c r="N8" i="8"/>
  <c r="K28" i="11"/>
  <c r="L28" i="11" s="1"/>
  <c r="M32" i="11" s="1"/>
  <c r="I29" i="11"/>
  <c r="N9" i="8" l="1"/>
  <c r="N10" i="8" s="1"/>
  <c r="N14" i="8" s="1"/>
  <c r="L10" i="8"/>
  <c r="I30" i="11"/>
  <c r="K29" i="11"/>
  <c r="L29" i="11" s="1"/>
  <c r="I31" i="11" l="1"/>
  <c r="K30" i="11"/>
  <c r="L30" i="11" s="1"/>
  <c r="N12" i="8"/>
  <c r="N13" i="8"/>
  <c r="N15" i="8"/>
  <c r="K31" i="11" l="1"/>
  <c r="L31" i="11" s="1"/>
  <c r="I32" i="11"/>
  <c r="K32" i="11" s="1"/>
  <c r="L32" i="11" s="1"/>
</calcChain>
</file>

<file path=xl/sharedStrings.xml><?xml version="1.0" encoding="utf-8"?>
<sst xmlns="http://schemas.openxmlformats.org/spreadsheetml/2006/main" count="658" uniqueCount="214">
  <si>
    <t>CAPACIDAD</t>
  </si>
  <si>
    <t>Variable</t>
  </si>
  <si>
    <t>Valor</t>
  </si>
  <si>
    <t>Unidad</t>
  </si>
  <si>
    <t>Producción real</t>
  </si>
  <si>
    <t>Cargar datos</t>
  </si>
  <si>
    <t>u/semana</t>
  </si>
  <si>
    <t>Capacidad efectiva</t>
  </si>
  <si>
    <t>u</t>
  </si>
  <si>
    <t>Horas por turno</t>
  </si>
  <si>
    <t>h/turno</t>
  </si>
  <si>
    <t>Turnos por día</t>
  </si>
  <si>
    <t>turnos/día</t>
  </si>
  <si>
    <t>Días de producción por semana</t>
  </si>
  <si>
    <t>día/semana</t>
  </si>
  <si>
    <t>Tasa de producción</t>
  </si>
  <si>
    <t>u/h</t>
  </si>
  <si>
    <t>Capacidad de diseño</t>
  </si>
  <si>
    <t>Utilización</t>
  </si>
  <si>
    <t>%</t>
  </si>
  <si>
    <t>Colchón de capacidad</t>
  </si>
  <si>
    <t>Eficiencia</t>
  </si>
  <si>
    <t>PRODUCCIÓN ESBELTA</t>
  </si>
  <si>
    <t>Demanda</t>
  </si>
  <si>
    <t>u/día</t>
  </si>
  <si>
    <t>Takt - time</t>
  </si>
  <si>
    <t>s/u</t>
  </si>
  <si>
    <t>u/min</t>
  </si>
  <si>
    <t>Tiempo de circulación de un contenedor</t>
  </si>
  <si>
    <t>min</t>
  </si>
  <si>
    <t>Capacidad de un contenedor</t>
  </si>
  <si>
    <t>u/contened.</t>
  </si>
  <si>
    <t>Cantidad de contenedores</t>
  </si>
  <si>
    <t>contened.</t>
  </si>
  <si>
    <t>Cantidad de contenedores (redondeo)</t>
  </si>
  <si>
    <t>Inventario máximo</t>
  </si>
  <si>
    <t>DIAGRAMA DE GANTT</t>
  </si>
  <si>
    <t>Máquina</t>
  </si>
  <si>
    <t>Trabajo</t>
  </si>
  <si>
    <t>Tiempo</t>
  </si>
  <si>
    <t>CT1</t>
  </si>
  <si>
    <t>B</t>
  </si>
  <si>
    <t>E</t>
  </si>
  <si>
    <t>D</t>
  </si>
  <si>
    <t>C</t>
  </si>
  <si>
    <t>A</t>
  </si>
  <si>
    <t>espera</t>
  </si>
  <si>
    <t>entrega</t>
  </si>
  <si>
    <t>CT2</t>
  </si>
  <si>
    <t>CT3</t>
  </si>
  <si>
    <t>CT4</t>
  </si>
  <si>
    <t>CT5</t>
  </si>
  <si>
    <t>CT6</t>
  </si>
  <si>
    <t>TOTAL</t>
  </si>
  <si>
    <t>Repetición</t>
  </si>
  <si>
    <t>Inactividad</t>
  </si>
  <si>
    <t>F</t>
  </si>
  <si>
    <t>Intervalo</t>
  </si>
  <si>
    <t>fabricación</t>
  </si>
  <si>
    <t>Capacidad</t>
  </si>
  <si>
    <t xml:space="preserve">Máquina </t>
  </si>
  <si>
    <t>Check</t>
  </si>
  <si>
    <t>Tiempo de espera</t>
  </si>
  <si>
    <t>Tiempo para entrega</t>
  </si>
  <si>
    <t>Intervalo de fabricación</t>
  </si>
  <si>
    <t>Departamento</t>
  </si>
  <si>
    <t>C1</t>
  </si>
  <si>
    <t>C2</t>
  </si>
  <si>
    <t>A1</t>
  </si>
  <si>
    <t>A2</t>
  </si>
  <si>
    <t>Nave</t>
  </si>
  <si>
    <t>G2</t>
  </si>
  <si>
    <t>G1</t>
  </si>
  <si>
    <t>G3</t>
  </si>
  <si>
    <t>G4</t>
  </si>
  <si>
    <t>Grupo</t>
  </si>
  <si>
    <t>Si se agrega otra nave A:</t>
  </si>
  <si>
    <t>Si se agrega otra nave B:</t>
  </si>
  <si>
    <t>B1</t>
  </si>
  <si>
    <t>B2</t>
  </si>
  <si>
    <t>Si se agrega otra nave A y otra B:</t>
  </si>
  <si>
    <t>REGLAS DE PRIORIDAD</t>
  </si>
  <si>
    <t>Regla</t>
  </si>
  <si>
    <t>Orden de llegada</t>
  </si>
  <si>
    <t>Procesamiento</t>
  </si>
  <si>
    <t>Entrega</t>
  </si>
  <si>
    <t>Razón crítica</t>
  </si>
  <si>
    <t>Secuencia</t>
  </si>
  <si>
    <t>Procesamiento (d)</t>
  </si>
  <si>
    <t>Flujo (d)</t>
  </si>
  <si>
    <t>Entrega (d)</t>
  </si>
  <si>
    <t>Retraso (d)</t>
  </si>
  <si>
    <t>Acumulación</t>
  </si>
  <si>
    <t>N/A</t>
  </si>
  <si>
    <t>1.</t>
  </si>
  <si>
    <t>Tiempo de terminación promedio</t>
  </si>
  <si>
    <t>2.</t>
  </si>
  <si>
    <t>Número promedio de trabajos en el sistema</t>
  </si>
  <si>
    <t>3.</t>
  </si>
  <si>
    <t>Retraso promedio del trabajo</t>
  </si>
  <si>
    <t>4.</t>
  </si>
  <si>
    <t>MÉTODO PERT</t>
  </si>
  <si>
    <t>Actividad</t>
  </si>
  <si>
    <r>
      <rPr>
        <b/>
        <sz val="11"/>
        <color theme="1"/>
        <rFont val="Calibri"/>
        <family val="2"/>
        <charset val="1"/>
      </rPr>
      <t>Tiempo optimista (T</t>
    </r>
    <r>
      <rPr>
        <b/>
        <vertAlign val="subscript"/>
        <sz val="11"/>
        <color rgb="FF000000"/>
        <rFont val="Calibri"/>
        <family val="2"/>
        <charset val="1"/>
      </rPr>
      <t>o</t>
    </r>
    <r>
      <rPr>
        <b/>
        <sz val="11"/>
        <color rgb="FF000000"/>
        <rFont val="Calibri"/>
        <family val="2"/>
        <charset val="1"/>
      </rPr>
      <t>)</t>
    </r>
  </si>
  <si>
    <r>
      <rPr>
        <b/>
        <sz val="11"/>
        <color theme="1"/>
        <rFont val="Calibri"/>
        <family val="2"/>
        <charset val="1"/>
      </rPr>
      <t>Tiempo más probable (T</t>
    </r>
    <r>
      <rPr>
        <b/>
        <vertAlign val="subscript"/>
        <sz val="11"/>
        <color rgb="FF000000"/>
        <rFont val="Calibri"/>
        <family val="2"/>
        <charset val="1"/>
      </rPr>
      <t>m</t>
    </r>
    <r>
      <rPr>
        <b/>
        <sz val="11"/>
        <color rgb="FF000000"/>
        <rFont val="Calibri"/>
        <family val="2"/>
        <charset val="1"/>
      </rPr>
      <t>)</t>
    </r>
  </si>
  <si>
    <r>
      <rPr>
        <b/>
        <sz val="11"/>
        <color theme="1"/>
        <rFont val="Calibri"/>
        <family val="2"/>
        <charset val="1"/>
      </rPr>
      <t>Tiempo pesimista (T</t>
    </r>
    <r>
      <rPr>
        <b/>
        <vertAlign val="subscript"/>
        <sz val="11"/>
        <color rgb="FF000000"/>
        <rFont val="Calibri"/>
        <family val="2"/>
        <charset val="1"/>
      </rPr>
      <t>p</t>
    </r>
    <r>
      <rPr>
        <b/>
        <sz val="11"/>
        <color rgb="FF000000"/>
        <rFont val="Calibri"/>
        <family val="2"/>
        <charset val="1"/>
      </rPr>
      <t>)</t>
    </r>
  </si>
  <si>
    <r>
      <rPr>
        <b/>
        <sz val="11"/>
        <color theme="1"/>
        <rFont val="Calibri"/>
        <family val="2"/>
        <charset val="1"/>
      </rPr>
      <t>Tiempo esperado (T</t>
    </r>
    <r>
      <rPr>
        <b/>
        <vertAlign val="subscript"/>
        <sz val="11"/>
        <color rgb="FF000000"/>
        <rFont val="Calibri"/>
        <family val="2"/>
        <charset val="1"/>
      </rPr>
      <t>e</t>
    </r>
    <r>
      <rPr>
        <b/>
        <sz val="11"/>
        <color rgb="FF000000"/>
        <rFont val="Calibri"/>
        <family val="2"/>
        <charset val="1"/>
      </rPr>
      <t>)</t>
    </r>
  </si>
  <si>
    <t>Varianza</t>
  </si>
  <si>
    <t>Ruta crítica</t>
  </si>
  <si>
    <t>Si</t>
  </si>
  <si>
    <t>No</t>
  </si>
  <si>
    <t>TIEMPO TOTAL</t>
  </si>
  <si>
    <t>Días</t>
  </si>
  <si>
    <t>Probabilidad</t>
  </si>
  <si>
    <t>MÉTODO CPM</t>
  </si>
  <si>
    <t>Tiempo normal</t>
  </si>
  <si>
    <t>Tiempo comprimido</t>
  </si>
  <si>
    <t>Costo comprimido</t>
  </si>
  <si>
    <t>Costo normal</t>
  </si>
  <si>
    <t>Costo comprimir</t>
  </si>
  <si>
    <t>CANTIDAD ECONÓMICA DE LA ORDEN</t>
  </si>
  <si>
    <t>ANÁLISIS ABC</t>
  </si>
  <si>
    <t>Símbolo</t>
  </si>
  <si>
    <t xml:space="preserve">Artículo </t>
  </si>
  <si>
    <t>Costo unitario</t>
  </si>
  <si>
    <t>Demanda anual</t>
  </si>
  <si>
    <t>VAD</t>
  </si>
  <si>
    <t>% del VAD total</t>
  </si>
  <si>
    <t>Clasificación</t>
  </si>
  <si>
    <t>Tasa de la demanda</t>
  </si>
  <si>
    <t>u/año</t>
  </si>
  <si>
    <t>X1</t>
  </si>
  <si>
    <t>Asignar A-B-C</t>
  </si>
  <si>
    <t>Costo por orden</t>
  </si>
  <si>
    <t>S</t>
  </si>
  <si>
    <t>$/orden</t>
  </si>
  <si>
    <t>X2</t>
  </si>
  <si>
    <t>$/u</t>
  </si>
  <si>
    <t>X3</t>
  </si>
  <si>
    <t>Tasa de mantenimiento</t>
  </si>
  <si>
    <t>i</t>
  </si>
  <si>
    <t>%/año</t>
  </si>
  <si>
    <t>X4</t>
  </si>
  <si>
    <t>Tamaño del lote</t>
  </si>
  <si>
    <t>Q</t>
  </si>
  <si>
    <t>X5</t>
  </si>
  <si>
    <t>Frecuencia anual de adquisición</t>
  </si>
  <si>
    <t>f</t>
  </si>
  <si>
    <t>veces/año</t>
  </si>
  <si>
    <t>Período de adquisición</t>
  </si>
  <si>
    <t>P</t>
  </si>
  <si>
    <t>año</t>
  </si>
  <si>
    <t>Costo por año</t>
  </si>
  <si>
    <t>Ordenamiento</t>
  </si>
  <si>
    <t>CO</t>
  </si>
  <si>
    <t>$</t>
  </si>
  <si>
    <t>Mantenimiento</t>
  </si>
  <si>
    <t>CM</t>
  </si>
  <si>
    <t>Costo total</t>
  </si>
  <si>
    <t>CT</t>
  </si>
  <si>
    <t>SISTEMA DE REVISIÓN CONTINUA</t>
  </si>
  <si>
    <t>Tiempo de entrega</t>
  </si>
  <si>
    <t>L</t>
  </si>
  <si>
    <t>Tiempo de referencia</t>
  </si>
  <si>
    <t>Tr</t>
  </si>
  <si>
    <t>Desviación estándar referencia</t>
  </si>
  <si>
    <t>σr</t>
  </si>
  <si>
    <t>Nivel de servicio</t>
  </si>
  <si>
    <t>NS</t>
  </si>
  <si>
    <t>Factor de seguridad</t>
  </si>
  <si>
    <t>z</t>
  </si>
  <si>
    <t>Demanda media durante LT</t>
  </si>
  <si>
    <t>m</t>
  </si>
  <si>
    <t>m=L*D</t>
  </si>
  <si>
    <t>Desviación estándar durante LT</t>
  </si>
  <si>
    <t>σ</t>
  </si>
  <si>
    <t>σ=σr*RAIZ(L/Tr)</t>
  </si>
  <si>
    <t>Inventario de seguridad</t>
  </si>
  <si>
    <t>s</t>
  </si>
  <si>
    <r>
      <rPr>
        <sz val="11"/>
        <color theme="1"/>
        <rFont val="Calibri"/>
        <family val="2"/>
        <charset val="1"/>
      </rPr>
      <t>s=z</t>
    </r>
    <r>
      <rPr>
        <sz val="11"/>
        <color rgb="FF000000"/>
        <rFont val="Symbol"/>
        <family val="1"/>
        <charset val="2"/>
      </rPr>
      <t>s</t>
    </r>
  </si>
  <si>
    <t>Nivel promedio de inventario</t>
  </si>
  <si>
    <t>I</t>
  </si>
  <si>
    <t>I=Q/2+s</t>
  </si>
  <si>
    <t>Punto de reorden</t>
  </si>
  <si>
    <t>R</t>
  </si>
  <si>
    <r>
      <rPr>
        <sz val="11"/>
        <color theme="1"/>
        <rFont val="Calibri"/>
        <family val="2"/>
        <charset val="1"/>
      </rPr>
      <t>R=m+s=m+z</t>
    </r>
    <r>
      <rPr>
        <sz val="11"/>
        <color rgb="FF000000"/>
        <rFont val="Symbol"/>
        <family val="1"/>
        <charset val="2"/>
      </rPr>
      <t>s</t>
    </r>
  </si>
  <si>
    <t>SISTEMA DE REVISIÓN PERIÓDICA</t>
  </si>
  <si>
    <t>Tiempo entre las órdenes</t>
  </si>
  <si>
    <t>tiempo</t>
  </si>
  <si>
    <t>s/unidad</t>
  </si>
  <si>
    <t>Demanda media durante P + L</t>
  </si>
  <si>
    <t>m'</t>
  </si>
  <si>
    <t>m'=(P+L)*D</t>
  </si>
  <si>
    <t>Desviación estándar durante P + L</t>
  </si>
  <si>
    <t>σ'</t>
  </si>
  <si>
    <t>σ'=σr*RAIZ((P+L)/Tr)</t>
  </si>
  <si>
    <t>Inventario de seguridad para cubrir P + L</t>
  </si>
  <si>
    <t>s'</t>
  </si>
  <si>
    <t>s'=zσ'</t>
  </si>
  <si>
    <t>I=Q/2+s'</t>
  </si>
  <si>
    <t>Nivel de inventario fijado como meta</t>
  </si>
  <si>
    <t>T</t>
  </si>
  <si>
    <t>T=m'+s'=m'+zσ'</t>
  </si>
  <si>
    <t>CANTIDAD ECONÓMICA DE LA ÓRDEN</t>
  </si>
  <si>
    <t>TP</t>
  </si>
  <si>
    <t>Día</t>
  </si>
  <si>
    <t>Disp. Inicio</t>
  </si>
  <si>
    <t>Ordenado inicio</t>
  </si>
  <si>
    <t>Pos. Inv. Inicio</t>
  </si>
  <si>
    <t>Monto ordenado</t>
  </si>
  <si>
    <t>Monto recibido</t>
  </si>
  <si>
    <t>m’</t>
  </si>
  <si>
    <t>σ′</t>
  </si>
  <si>
    <t>s’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</si>
</sst>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0\ %"/>
    <numFmt numFmtId="165" formatCode="0.0%"/>
    <numFmt numFmtId="166" formatCode="&quot;=Repetición A&quot;"/>
    <numFmt numFmtId="167" formatCode="#&quot; horas&quot;"/>
    <numFmt numFmtId="168" formatCode="&quot;ORDEN &quot;General\º"/>
    <numFmt numFmtId="169" formatCode="0.0\ %"/>
    <numFmt numFmtId="170" formatCode="0.000"/>
    <numFmt numFmtId="171" formatCode="0.00\ %"/>
    <numFmt numFmtId="172" formatCode="\$#"/>
    <numFmt numFmtId="173" formatCode="0.0"/>
    <numFmt numFmtId="174" formatCode="_-\$* #,##0.00_-;&quot;-$&quot;* #,##0.00_-;_-\$* \-??_-;_-@_-"/>
  </numFmts>
  <fonts count="13" x14ac:knownFonts="1">
    <font>
      <sz val="11"/>
      <color theme="1"/>
      <name val="Calibri"/>
      <family val="2"/>
      <charset val="1"/>
    </font>
    <font>
      <b/>
      <u/>
      <sz val="12"/>
      <color theme="1"/>
      <name val="Calibri"/>
      <family val="2"/>
      <charset val="1"/>
    </font>
    <font>
      <b/>
      <sz val="11"/>
      <color theme="1"/>
      <name val="Calibri"/>
      <family val="2"/>
      <charset val="1"/>
    </font>
    <font>
      <b/>
      <sz val="7"/>
      <color theme="1"/>
      <name val="Calibri"/>
      <family val="2"/>
      <charset val="1"/>
    </font>
    <font>
      <b/>
      <sz val="11"/>
      <color rgb="FFFF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color rgb="FFB2B2B2"/>
      <name val="Calibri"/>
      <family val="2"/>
      <charset val="1"/>
    </font>
    <font>
      <b/>
      <sz val="10"/>
      <color theme="1"/>
      <name val="Calibri"/>
      <family val="2"/>
      <charset val="1"/>
    </font>
    <font>
      <b/>
      <sz val="11"/>
      <name val="Calibri"/>
      <family val="2"/>
      <charset val="1"/>
    </font>
    <font>
      <sz val="11"/>
      <color rgb="FFFF0000"/>
      <name val="Calibri"/>
      <family val="2"/>
      <charset val="1"/>
    </font>
    <font>
      <b/>
      <vertAlign val="subscript"/>
      <sz val="11"/>
      <color rgb="FF000000"/>
      <name val="Calibri"/>
      <family val="2"/>
      <charset val="1"/>
    </font>
    <font>
      <sz val="11"/>
      <color rgb="FF000000"/>
      <name val="Symbol"/>
      <family val="1"/>
      <charset val="2"/>
    </font>
    <font>
      <sz val="11"/>
      <color theme="1"/>
      <name val="Calibri"/>
      <family val="2"/>
      <charset val="1"/>
    </font>
  </fonts>
  <fills count="15">
    <fill>
      <patternFill patternType="none"/>
    </fill>
    <fill>
      <patternFill patternType="gray125"/>
    </fill>
    <fill>
      <patternFill patternType="solid">
        <fgColor rgb="FFFFDE59"/>
        <bgColor rgb="FFFFD428"/>
      </patternFill>
    </fill>
    <fill>
      <patternFill patternType="solid">
        <fgColor rgb="FFFFD428"/>
        <bgColor rgb="FFFFDE59"/>
      </patternFill>
    </fill>
    <fill>
      <patternFill patternType="solid">
        <fgColor rgb="FFCCCCCC"/>
        <bgColor rgb="FFDBDBDB"/>
      </patternFill>
    </fill>
    <fill>
      <patternFill patternType="solid">
        <fgColor rgb="FF3FAF46"/>
        <bgColor rgb="FF33CCCC"/>
      </patternFill>
    </fill>
    <fill>
      <patternFill patternType="solid">
        <fgColor rgb="FFFF3838"/>
        <bgColor rgb="FFFF0000"/>
      </patternFill>
    </fill>
    <fill>
      <patternFill patternType="solid">
        <fgColor rgb="FFFFFF38"/>
        <bgColor rgb="FFFFDE59"/>
      </patternFill>
    </fill>
    <fill>
      <patternFill patternType="solid">
        <fgColor rgb="FFFFBF00"/>
        <bgColor rgb="FFFFD428"/>
      </patternFill>
    </fill>
    <fill>
      <patternFill patternType="solid">
        <fgColor theme="4" tint="0.59978026673177287"/>
        <bgColor rgb="FFBDD7EE"/>
      </patternFill>
    </fill>
    <fill>
      <patternFill patternType="solid">
        <fgColor theme="7" tint="0.59978026673177287"/>
        <bgColor rgb="FFFFDE59"/>
      </patternFill>
    </fill>
    <fill>
      <patternFill patternType="solid">
        <fgColor theme="5" tint="0.59978026673177287"/>
        <bgColor rgb="FFFFE699"/>
      </patternFill>
    </fill>
    <fill>
      <patternFill patternType="solid">
        <fgColor theme="6" tint="0.59978026673177287"/>
        <bgColor rgb="FFCCCCCC"/>
      </patternFill>
    </fill>
    <fill>
      <patternFill patternType="solid">
        <fgColor theme="9" tint="0.59978026673177287"/>
        <bgColor rgb="FFCCCCCC"/>
      </patternFill>
    </fill>
    <fill>
      <patternFill patternType="solid">
        <fgColor theme="8" tint="0.59978026673177287"/>
        <bgColor rgb="FFB4C7E7"/>
      </patternFill>
    </fill>
  </fills>
  <borders count="64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medium">
        <color auto="1"/>
      </bottom>
      <diagonal/>
    </border>
    <border>
      <left style="medium">
        <color auto="1"/>
      </left>
      <right/>
      <top style="double">
        <color auto="1"/>
      </top>
      <bottom style="medium">
        <color auto="1"/>
      </bottom>
      <diagonal/>
    </border>
    <border>
      <left/>
      <right/>
      <top style="double">
        <color auto="1"/>
      </top>
      <bottom style="medium">
        <color auto="1"/>
      </bottom>
      <diagonal/>
    </border>
    <border>
      <left/>
      <right style="medium">
        <color auto="1"/>
      </right>
      <top style="double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3">
    <xf numFmtId="0" fontId="0" fillId="0" borderId="0"/>
    <xf numFmtId="174" fontId="12" fillId="0" borderId="0" applyBorder="0" applyProtection="0"/>
    <xf numFmtId="164" fontId="12" fillId="0" borderId="0" applyBorder="0" applyProtection="0"/>
  </cellStyleXfs>
  <cellXfs count="241">
    <xf numFmtId="0" fontId="0" fillId="0" borderId="0" xfId="0"/>
    <xf numFmtId="0" fontId="0" fillId="9" borderId="14" xfId="0" applyFill="1" applyBorder="1" applyAlignment="1">
      <alignment horizontal="center"/>
    </xf>
    <xf numFmtId="0" fontId="0" fillId="11" borderId="26" xfId="0" applyFill="1" applyBorder="1" applyAlignment="1">
      <alignment horizontal="center"/>
    </xf>
    <xf numFmtId="0" fontId="0" fillId="13" borderId="9" xfId="0" applyFill="1" applyBorder="1" applyAlignment="1">
      <alignment horizontal="center"/>
    </xf>
    <xf numFmtId="0" fontId="0" fillId="10" borderId="9" xfId="0" applyFill="1" applyBorder="1" applyAlignment="1">
      <alignment horizontal="center"/>
    </xf>
    <xf numFmtId="0" fontId="0" fillId="11" borderId="9" xfId="0" applyFill="1" applyBorder="1" applyAlignment="1">
      <alignment horizontal="center"/>
    </xf>
    <xf numFmtId="0" fontId="0" fillId="9" borderId="9" xfId="0" applyFill="1" applyBorder="1" applyAlignment="1">
      <alignment horizontal="center"/>
    </xf>
    <xf numFmtId="0" fontId="0" fillId="12" borderId="5" xfId="0" applyFill="1" applyBorder="1" applyAlignment="1">
      <alignment horizontal="center"/>
    </xf>
    <xf numFmtId="0" fontId="0" fillId="11" borderId="5" xfId="0" applyFill="1" applyBorder="1" applyAlignment="1">
      <alignment horizontal="center"/>
    </xf>
    <xf numFmtId="0" fontId="0" fillId="10" borderId="5" xfId="0" applyFill="1" applyBorder="1" applyAlignment="1">
      <alignment horizontal="center"/>
    </xf>
    <xf numFmtId="0" fontId="0" fillId="9" borderId="23" xfId="0" applyFill="1" applyBorder="1" applyAlignment="1">
      <alignment horizontal="center"/>
    </xf>
    <xf numFmtId="167" fontId="0" fillId="0" borderId="17" xfId="0" applyNumberFormat="1" applyBorder="1" applyAlignment="1" applyProtection="1">
      <alignment horizontal="center" vertical="center"/>
    </xf>
    <xf numFmtId="0" fontId="2" fillId="0" borderId="9" xfId="0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left" vertical="center" wrapText="1"/>
    </xf>
    <xf numFmtId="0" fontId="1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2" fontId="2" fillId="2" borderId="5" xfId="0" applyNumberFormat="1" applyFont="1" applyFill="1" applyBorder="1" applyAlignment="1" applyProtection="1">
      <alignment horizontal="center"/>
      <protection locked="0"/>
    </xf>
    <xf numFmtId="0" fontId="0" fillId="0" borderId="6" xfId="0" applyFont="1" applyBorder="1" applyAlignment="1">
      <alignment horizontal="center"/>
    </xf>
    <xf numFmtId="0" fontId="0" fillId="0" borderId="0" xfId="2" applyNumberFormat="1" applyFont="1" applyBorder="1" applyProtection="1"/>
    <xf numFmtId="0" fontId="0" fillId="0" borderId="7" xfId="0" applyFont="1" applyBorder="1" applyAlignment="1">
      <alignment horizontal="center"/>
    </xf>
    <xf numFmtId="0" fontId="0" fillId="0" borderId="8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165" fontId="2" fillId="0" borderId="11" xfId="2" applyNumberFormat="1" applyFont="1" applyBorder="1" applyAlignment="1" applyProtection="1">
      <alignment horizontal="center"/>
    </xf>
    <xf numFmtId="0" fontId="0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165" fontId="2" fillId="0" borderId="14" xfId="2" applyNumberFormat="1" applyFont="1" applyBorder="1" applyAlignment="1" applyProtection="1">
      <alignment horizontal="center"/>
    </xf>
    <xf numFmtId="0" fontId="0" fillId="0" borderId="15" xfId="0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/>
    <xf numFmtId="1" fontId="0" fillId="0" borderId="5" xfId="0" applyNumberForma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9" xfId="2" applyNumberFormat="1" applyFont="1" applyBorder="1" applyAlignment="1" applyProtection="1">
      <alignment horizontal="center"/>
    </xf>
    <xf numFmtId="1" fontId="0" fillId="0" borderId="9" xfId="0" applyNumberFormat="1" applyBorder="1" applyAlignment="1">
      <alignment horizontal="center"/>
    </xf>
    <xf numFmtId="1" fontId="2" fillId="0" borderId="14" xfId="0" applyNumberFormat="1" applyFon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1" fontId="2" fillId="0" borderId="9" xfId="0" applyNumberFormat="1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0" fillId="0" borderId="0" xfId="0" applyAlignment="1" applyProtection="1">
      <alignment vertical="center"/>
    </xf>
    <xf numFmtId="0" fontId="0" fillId="0" borderId="0" xfId="0" applyAlignment="1" applyProtection="1">
      <alignment horizontal="center" vertical="center"/>
    </xf>
    <xf numFmtId="0" fontId="2" fillId="0" borderId="9" xfId="0" applyFont="1" applyBorder="1" applyAlignment="1" applyProtection="1">
      <alignment horizontal="center" vertical="center" wrapText="1"/>
    </xf>
    <xf numFmtId="0" fontId="3" fillId="0" borderId="9" xfId="0" applyFont="1" applyBorder="1" applyAlignment="1" applyProtection="1">
      <alignment horizontal="right" vertical="center"/>
    </xf>
    <xf numFmtId="0" fontId="0" fillId="0" borderId="0" xfId="0" applyFont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3" borderId="9" xfId="0" applyFont="1" applyFill="1" applyBorder="1" applyAlignment="1" applyProtection="1">
      <alignment horizontal="center" vertical="center" wrapText="1"/>
      <protection locked="0"/>
    </xf>
    <xf numFmtId="0" fontId="2" fillId="4" borderId="9" xfId="0" applyFont="1" applyFill="1" applyBorder="1" applyAlignment="1" applyProtection="1">
      <alignment horizontal="center" vertical="center" wrapText="1"/>
      <protection locked="0"/>
    </xf>
    <xf numFmtId="0" fontId="2" fillId="5" borderId="9" xfId="0" applyFont="1" applyFill="1" applyBorder="1" applyAlignment="1" applyProtection="1">
      <alignment horizontal="center" vertical="center" wrapText="1"/>
      <protection locked="0"/>
    </xf>
    <xf numFmtId="0" fontId="2" fillId="6" borderId="9" xfId="0" applyFont="1" applyFill="1" applyBorder="1" applyAlignment="1" applyProtection="1">
      <alignment horizontal="center" vertical="center" wrapText="1"/>
      <protection locked="0"/>
    </xf>
    <xf numFmtId="0" fontId="2" fillId="7" borderId="9" xfId="0" applyFont="1" applyFill="1" applyBorder="1" applyAlignment="1" applyProtection="1">
      <alignment horizontal="center" vertical="center" wrapText="1"/>
      <protection locked="0"/>
    </xf>
    <xf numFmtId="0" fontId="0" fillId="0" borderId="9" xfId="0" applyBorder="1" applyProtection="1"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center" vertical="center" wrapText="1"/>
    </xf>
    <xf numFmtId="0" fontId="0" fillId="0" borderId="9" xfId="0" applyBorder="1" applyAlignment="1" applyProtection="1">
      <alignment horizontal="center" vertical="center"/>
      <protection locked="0"/>
    </xf>
    <xf numFmtId="0" fontId="2" fillId="7" borderId="9" xfId="0" applyFont="1" applyFill="1" applyBorder="1" applyAlignment="1" applyProtection="1">
      <alignment horizontal="center" vertical="center" wrapText="1"/>
    </xf>
    <xf numFmtId="0" fontId="4" fillId="0" borderId="9" xfId="0" applyFont="1" applyBorder="1" applyAlignment="1" applyProtection="1">
      <alignment horizontal="center" vertical="center"/>
    </xf>
    <xf numFmtId="0" fontId="2" fillId="3" borderId="9" xfId="0" applyFont="1" applyFill="1" applyBorder="1" applyAlignment="1" applyProtection="1">
      <alignment horizontal="center" vertical="center" wrapText="1"/>
    </xf>
    <xf numFmtId="0" fontId="2" fillId="6" borderId="9" xfId="0" applyFont="1" applyFill="1" applyBorder="1" applyAlignment="1" applyProtection="1">
      <alignment horizontal="center" vertical="center" wrapText="1"/>
    </xf>
    <xf numFmtId="0" fontId="2" fillId="5" borderId="9" xfId="0" applyFont="1" applyFill="1" applyBorder="1" applyAlignment="1" applyProtection="1">
      <alignment horizontal="center" vertical="center" wrapText="1"/>
    </xf>
    <xf numFmtId="0" fontId="2" fillId="4" borderId="9" xfId="0" applyFont="1" applyFill="1" applyBorder="1" applyAlignment="1" applyProtection="1">
      <alignment horizontal="center" vertical="center" wrapText="1"/>
    </xf>
    <xf numFmtId="166" fontId="5" fillId="8" borderId="0" xfId="0" applyNumberFormat="1" applyFont="1" applyFill="1" applyAlignment="1" applyProtection="1">
      <alignment horizontal="center" vertical="center"/>
    </xf>
    <xf numFmtId="166" fontId="6" fillId="0" borderId="0" xfId="0" applyNumberFormat="1" applyFont="1" applyAlignment="1" applyProtection="1">
      <alignment horizontal="center" vertical="center"/>
    </xf>
    <xf numFmtId="0" fontId="6" fillId="0" borderId="0" xfId="0" applyFont="1" applyAlignment="1" applyProtection="1">
      <alignment vertical="center"/>
    </xf>
    <xf numFmtId="0" fontId="0" fillId="0" borderId="9" xfId="0" applyBorder="1" applyAlignment="1" applyProtection="1">
      <alignment horizontal="center" vertical="center"/>
    </xf>
    <xf numFmtId="166" fontId="6" fillId="0" borderId="0" xfId="0" applyNumberFormat="1" applyFont="1" applyAlignment="1" applyProtection="1">
      <alignment horizontal="center"/>
    </xf>
    <xf numFmtId="0" fontId="6" fillId="0" borderId="0" xfId="0" applyFont="1" applyAlignment="1" applyProtection="1">
      <alignment horizontal="center"/>
    </xf>
    <xf numFmtId="0" fontId="2" fillId="0" borderId="9" xfId="0" applyFont="1" applyBorder="1" applyAlignment="1" applyProtection="1">
      <alignment horizontal="center"/>
    </xf>
    <xf numFmtId="0" fontId="2" fillId="8" borderId="9" xfId="0" applyFont="1" applyFill="1" applyBorder="1" applyAlignment="1" applyProtection="1">
      <alignment horizontal="center"/>
      <protection locked="0"/>
    </xf>
    <xf numFmtId="0" fontId="2" fillId="0" borderId="16" xfId="0" applyFont="1" applyBorder="1" applyAlignment="1" applyProtection="1">
      <alignment horizontal="center" vertical="center" wrapText="1"/>
    </xf>
    <xf numFmtId="167" fontId="0" fillId="0" borderId="17" xfId="0" applyNumberForma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 wrapText="1"/>
    </xf>
    <xf numFmtId="167" fontId="0" fillId="0" borderId="19" xfId="0" applyNumberFormat="1" applyBorder="1" applyAlignment="1" applyProtection="1">
      <alignment horizontal="center" vertical="center"/>
    </xf>
    <xf numFmtId="165" fontId="0" fillId="0" borderId="9" xfId="2" applyNumberFormat="1" applyFont="1" applyBorder="1" applyAlignment="1" applyProtection="1">
      <alignment horizontal="center" vertical="center"/>
    </xf>
    <xf numFmtId="0" fontId="0" fillId="0" borderId="9" xfId="0" applyBorder="1" applyAlignment="1" applyProtection="1">
      <alignment horizontal="center"/>
    </xf>
    <xf numFmtId="0" fontId="2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0" fillId="10" borderId="5" xfId="0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13" borderId="6" xfId="0" applyFill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9" borderId="9" xfId="0" applyFill="1" applyBorder="1" applyAlignment="1">
      <alignment horizontal="center"/>
    </xf>
    <xf numFmtId="0" fontId="0" fillId="11" borderId="9" xfId="0" applyFill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2" fillId="0" borderId="29" xfId="0" applyFont="1" applyBorder="1" applyAlignment="1">
      <alignment horizontal="center"/>
    </xf>
    <xf numFmtId="0" fontId="0" fillId="9" borderId="5" xfId="0" applyFill="1" applyBorder="1" applyAlignment="1">
      <alignment horizontal="center"/>
    </xf>
    <xf numFmtId="0" fontId="0" fillId="0" borderId="5" xfId="0" applyBorder="1"/>
    <xf numFmtId="0" fontId="0" fillId="12" borderId="9" xfId="0" applyFill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34" xfId="0" applyBorder="1"/>
    <xf numFmtId="0" fontId="0" fillId="0" borderId="26" xfId="0" applyBorder="1" applyAlignment="1">
      <alignment horizontal="center"/>
    </xf>
    <xf numFmtId="0" fontId="2" fillId="0" borderId="46" xfId="0" applyFont="1" applyBorder="1" applyAlignment="1">
      <alignment horizontal="center"/>
    </xf>
    <xf numFmtId="0" fontId="2" fillId="0" borderId="47" xfId="0" applyFont="1" applyBorder="1" applyAlignment="1">
      <alignment horizontal="center"/>
    </xf>
    <xf numFmtId="0" fontId="2" fillId="0" borderId="48" xfId="0" applyFont="1" applyBorder="1" applyAlignment="1">
      <alignment horizontal="center"/>
    </xf>
    <xf numFmtId="0" fontId="2" fillId="0" borderId="49" xfId="0" applyFont="1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45" xfId="0" applyBorder="1" applyAlignment="1">
      <alignment horizontal="center"/>
    </xf>
    <xf numFmtId="0" fontId="2" fillId="0" borderId="50" xfId="0" applyFont="1" applyBorder="1" applyAlignment="1">
      <alignment horizontal="center"/>
    </xf>
    <xf numFmtId="0" fontId="2" fillId="0" borderId="51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12" borderId="6" xfId="0" applyFont="1" applyFill="1" applyBorder="1" applyAlignment="1">
      <alignment horizontal="center"/>
    </xf>
    <xf numFmtId="0" fontId="0" fillId="14" borderId="9" xfId="0" applyFont="1" applyFill="1" applyBorder="1" applyAlignment="1">
      <alignment horizontal="center"/>
    </xf>
    <xf numFmtId="0" fontId="0" fillId="10" borderId="9" xfId="0" applyFont="1" applyFill="1" applyBorder="1" applyAlignment="1">
      <alignment horizontal="center"/>
    </xf>
    <xf numFmtId="0" fontId="0" fillId="12" borderId="45" xfId="0" applyFill="1" applyBorder="1" applyAlignment="1">
      <alignment horizontal="center"/>
    </xf>
    <xf numFmtId="0" fontId="0" fillId="0" borderId="4" xfId="0" applyBorder="1"/>
    <xf numFmtId="0" fontId="2" fillId="0" borderId="0" xfId="0" applyFont="1" applyAlignment="1">
      <alignment horizontal="center"/>
    </xf>
    <xf numFmtId="0" fontId="0" fillId="0" borderId="9" xfId="0" applyBorder="1"/>
    <xf numFmtId="0" fontId="0" fillId="0" borderId="45" xfId="0" applyBorder="1"/>
    <xf numFmtId="0" fontId="0" fillId="0" borderId="8" xfId="0" applyBorder="1"/>
    <xf numFmtId="0" fontId="0" fillId="0" borderId="23" xfId="0" applyBorder="1" applyAlignment="1">
      <alignment horizontal="center"/>
    </xf>
    <xf numFmtId="0" fontId="2" fillId="2" borderId="0" xfId="0" applyFont="1" applyFill="1" applyAlignment="1" applyProtection="1">
      <alignment horizontal="center"/>
      <protection locked="0"/>
    </xf>
    <xf numFmtId="0" fontId="8" fillId="2" borderId="9" xfId="0" applyFont="1" applyFill="1" applyBorder="1" applyAlignment="1" applyProtection="1">
      <alignment horizontal="center"/>
      <protection locked="0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1" fontId="0" fillId="0" borderId="0" xfId="0" applyNumberFormat="1" applyAlignment="1">
      <alignment horizontal="center"/>
    </xf>
    <xf numFmtId="0" fontId="0" fillId="0" borderId="0" xfId="0" applyFont="1" applyAlignment="1">
      <alignment horizontal="right"/>
    </xf>
    <xf numFmtId="0" fontId="0" fillId="0" borderId="0" xfId="0" applyFont="1"/>
    <xf numFmtId="2" fontId="0" fillId="0" borderId="0" xfId="0" applyNumberFormat="1"/>
    <xf numFmtId="168" fontId="2" fillId="0" borderId="9" xfId="0" applyNumberFormat="1" applyFont="1" applyBorder="1" applyAlignment="1">
      <alignment horizontal="center"/>
    </xf>
    <xf numFmtId="169" fontId="0" fillId="0" borderId="0" xfId="0" applyNumberFormat="1"/>
    <xf numFmtId="170" fontId="2" fillId="0" borderId="5" xfId="0" applyNumberFormat="1" applyFont="1" applyBorder="1" applyAlignment="1">
      <alignment horizontal="center"/>
    </xf>
    <xf numFmtId="170" fontId="2" fillId="0" borderId="9" xfId="0" applyNumberFormat="1" applyFont="1" applyBorder="1" applyAlignment="1">
      <alignment horizontal="center"/>
    </xf>
    <xf numFmtId="0" fontId="2" fillId="0" borderId="52" xfId="0" applyFont="1" applyBorder="1" applyAlignment="1">
      <alignment horizontal="center"/>
    </xf>
    <xf numFmtId="0" fontId="0" fillId="0" borderId="53" xfId="0" applyBorder="1" applyAlignment="1">
      <alignment horizontal="center"/>
    </xf>
    <xf numFmtId="0" fontId="0" fillId="0" borderId="54" xfId="0" applyBorder="1" applyAlignment="1">
      <alignment horizontal="center"/>
    </xf>
    <xf numFmtId="170" fontId="2" fillId="0" borderId="54" xfId="0" applyNumberFormat="1" applyFont="1" applyBorder="1" applyAlignment="1">
      <alignment horizontal="center"/>
    </xf>
    <xf numFmtId="0" fontId="0" fillId="0" borderId="28" xfId="0" applyFont="1" applyBorder="1" applyAlignment="1">
      <alignment horizontal="center"/>
    </xf>
    <xf numFmtId="0" fontId="2" fillId="0" borderId="55" xfId="0" applyFont="1" applyBorder="1" applyAlignment="1">
      <alignment horizontal="center"/>
    </xf>
    <xf numFmtId="0" fontId="0" fillId="0" borderId="56" xfId="0" applyBorder="1"/>
    <xf numFmtId="0" fontId="0" fillId="0" borderId="57" xfId="0" applyBorder="1"/>
    <xf numFmtId="170" fontId="2" fillId="0" borderId="57" xfId="0" applyNumberFormat="1" applyFont="1" applyBorder="1" applyAlignment="1">
      <alignment horizontal="center"/>
    </xf>
    <xf numFmtId="0" fontId="0" fillId="0" borderId="30" xfId="0" applyBorder="1"/>
    <xf numFmtId="171" fontId="2" fillId="0" borderId="30" xfId="2" applyNumberFormat="1" applyFont="1" applyBorder="1" applyAlignment="1" applyProtection="1">
      <alignment horizontal="center"/>
    </xf>
    <xf numFmtId="0" fontId="2" fillId="0" borderId="58" xfId="0" applyFont="1" applyBorder="1" applyAlignment="1">
      <alignment horizontal="center"/>
    </xf>
    <xf numFmtId="172" fontId="0" fillId="0" borderId="5" xfId="0" applyNumberFormat="1" applyBorder="1" applyAlignment="1">
      <alignment horizontal="center"/>
    </xf>
    <xf numFmtId="172" fontId="0" fillId="0" borderId="18" xfId="0" applyNumberFormat="1" applyBorder="1" applyAlignment="1">
      <alignment horizontal="center"/>
    </xf>
    <xf numFmtId="172" fontId="2" fillId="0" borderId="22" xfId="0" applyNumberFormat="1" applyFont="1" applyBorder="1" applyAlignment="1">
      <alignment horizontal="center"/>
    </xf>
    <xf numFmtId="172" fontId="0" fillId="0" borderId="9" xfId="0" applyNumberFormat="1" applyBorder="1" applyAlignment="1">
      <alignment horizontal="center"/>
    </xf>
    <xf numFmtId="172" fontId="0" fillId="0" borderId="59" xfId="0" applyNumberFormat="1" applyBorder="1" applyAlignment="1">
      <alignment horizontal="center"/>
    </xf>
    <xf numFmtId="172" fontId="2" fillId="0" borderId="24" xfId="0" applyNumberFormat="1" applyFont="1" applyBorder="1" applyAlignment="1">
      <alignment horizontal="center"/>
    </xf>
    <xf numFmtId="172" fontId="0" fillId="0" borderId="14" xfId="0" applyNumberFormat="1" applyBorder="1" applyAlignment="1">
      <alignment horizontal="center"/>
    </xf>
    <xf numFmtId="172" fontId="0" fillId="0" borderId="60" xfId="0" applyNumberFormat="1" applyBorder="1" applyAlignment="1">
      <alignment horizontal="center"/>
    </xf>
    <xf numFmtId="172" fontId="2" fillId="0" borderId="25" xfId="0" applyNumberFormat="1" applyFont="1" applyBorder="1" applyAlignment="1">
      <alignment horizontal="center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173" fontId="2" fillId="2" borderId="9" xfId="0" applyNumberFormat="1" applyFont="1" applyFill="1" applyBorder="1" applyAlignment="1" applyProtection="1">
      <alignment horizontal="center"/>
      <protection locked="0"/>
    </xf>
    <xf numFmtId="174" fontId="0" fillId="0" borderId="9" xfId="1" applyFont="1" applyBorder="1" applyAlignment="1" applyProtection="1">
      <alignment horizontal="center"/>
    </xf>
    <xf numFmtId="164" fontId="0" fillId="0" borderId="9" xfId="2" applyFont="1" applyBorder="1" applyAlignment="1" applyProtection="1">
      <alignment horizontal="center"/>
    </xf>
    <xf numFmtId="165" fontId="2" fillId="2" borderId="9" xfId="1" applyNumberFormat="1" applyFont="1" applyFill="1" applyBorder="1" applyAlignment="1" applyProtection="1">
      <alignment horizontal="center"/>
      <protection locked="0"/>
    </xf>
    <xf numFmtId="174" fontId="2" fillId="0" borderId="9" xfId="0" applyNumberFormat="1" applyFont="1" applyBorder="1" applyAlignment="1">
      <alignment horizontal="center"/>
    </xf>
    <xf numFmtId="164" fontId="2" fillId="0" borderId="9" xfId="0" applyNumberFormat="1" applyFont="1" applyBorder="1" applyAlignment="1">
      <alignment horizontal="center"/>
    </xf>
    <xf numFmtId="170" fontId="0" fillId="0" borderId="9" xfId="0" applyNumberFormat="1" applyBorder="1" applyAlignment="1">
      <alignment horizontal="center"/>
    </xf>
    <xf numFmtId="170" fontId="2" fillId="2" borderId="9" xfId="0" applyNumberFormat="1" applyFont="1" applyFill="1" applyBorder="1" applyAlignment="1" applyProtection="1">
      <alignment horizontal="center"/>
      <protection locked="0"/>
    </xf>
    <xf numFmtId="0" fontId="0" fillId="0" borderId="0" xfId="0" applyFont="1" applyAlignment="1">
      <alignment horizontal="left"/>
    </xf>
    <xf numFmtId="170" fontId="0" fillId="0" borderId="14" xfId="0" applyNumberFormat="1" applyBorder="1" applyAlignment="1">
      <alignment horizontal="center"/>
    </xf>
    <xf numFmtId="0" fontId="0" fillId="0" borderId="10" xfId="0" applyFont="1" applyBorder="1" applyAlignment="1">
      <alignment horizontal="center"/>
    </xf>
    <xf numFmtId="1" fontId="0" fillId="0" borderId="11" xfId="0" applyNumberFormat="1" applyBorder="1" applyAlignment="1">
      <alignment horizontal="center"/>
    </xf>
    <xf numFmtId="0" fontId="0" fillId="0" borderId="2" xfId="0" applyFont="1" applyBorder="1" applyAlignment="1">
      <alignment horizontal="center"/>
    </xf>
    <xf numFmtId="1" fontId="2" fillId="0" borderId="2" xfId="0" applyNumberFormat="1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173" fontId="0" fillId="0" borderId="9" xfId="0" applyNumberFormat="1" applyBorder="1" applyAlignment="1">
      <alignment horizontal="center"/>
    </xf>
    <xf numFmtId="1" fontId="0" fillId="0" borderId="8" xfId="0" applyNumberFormat="1" applyBorder="1" applyAlignment="1">
      <alignment horizontal="center"/>
    </xf>
    <xf numFmtId="0" fontId="0" fillId="0" borderId="61" xfId="0" applyFont="1" applyBorder="1" applyAlignment="1">
      <alignment horizontal="center"/>
    </xf>
    <xf numFmtId="0" fontId="0" fillId="0" borderId="62" xfId="0" applyFont="1" applyBorder="1" applyAlignment="1">
      <alignment horizontal="center"/>
    </xf>
    <xf numFmtId="1" fontId="0" fillId="0" borderId="62" xfId="0" applyNumberFormat="1" applyBorder="1" applyAlignment="1">
      <alignment horizontal="center"/>
    </xf>
    <xf numFmtId="0" fontId="0" fillId="0" borderId="63" xfId="0" applyFont="1" applyBorder="1" applyAlignment="1">
      <alignment horizontal="center"/>
    </xf>
    <xf numFmtId="1" fontId="0" fillId="0" borderId="14" xfId="0" applyNumberFormat="1" applyBorder="1" applyAlignment="1">
      <alignment horizontal="center"/>
    </xf>
    <xf numFmtId="1" fontId="0" fillId="0" borderId="57" xfId="0" applyNumberFormat="1" applyBorder="1" applyAlignment="1">
      <alignment horizontal="center"/>
    </xf>
    <xf numFmtId="1" fontId="0" fillId="0" borderId="15" xfId="0" applyNumberFormat="1" applyBorder="1" applyAlignment="1">
      <alignment horizontal="center"/>
    </xf>
    <xf numFmtId="170" fontId="0" fillId="0" borderId="5" xfId="0" applyNumberFormat="1" applyBorder="1" applyAlignment="1">
      <alignment horizontal="center"/>
    </xf>
    <xf numFmtId="0" fontId="0" fillId="12" borderId="14" xfId="0" applyFill="1" applyBorder="1" applyAlignment="1">
      <alignment horizontal="center"/>
    </xf>
    <xf numFmtId="0" fontId="0" fillId="13" borderId="14" xfId="0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5" xfId="0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9" xfId="0" applyBorder="1" applyAlignment="1">
      <alignment horizontal="center"/>
    </xf>
    <xf numFmtId="0" fontId="2" fillId="0" borderId="29" xfId="0" applyFont="1" applyBorder="1" applyAlignment="1">
      <alignment horizontal="center"/>
    </xf>
    <xf numFmtId="0" fontId="0" fillId="0" borderId="30" xfId="0" applyBorder="1" applyAlignment="1">
      <alignment horizontal="center"/>
    </xf>
    <xf numFmtId="0" fontId="2" fillId="0" borderId="31" xfId="0" applyFont="1" applyBorder="1" applyAlignment="1">
      <alignment horizontal="center" vertical="center" wrapText="1"/>
    </xf>
    <xf numFmtId="167" fontId="0" fillId="0" borderId="32" xfId="0" applyNumberFormat="1" applyBorder="1" applyAlignment="1">
      <alignment horizontal="center" vertical="center"/>
    </xf>
    <xf numFmtId="0" fontId="2" fillId="0" borderId="13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12" borderId="4" xfId="0" applyFill="1" applyBorder="1" applyAlignment="1">
      <alignment horizontal="center"/>
    </xf>
    <xf numFmtId="0" fontId="0" fillId="9" borderId="5" xfId="0" applyFill="1" applyBorder="1" applyAlignment="1">
      <alignment horizontal="center"/>
    </xf>
    <xf numFmtId="0" fontId="0" fillId="11" borderId="33" xfId="0" applyFill="1" applyBorder="1" applyAlignment="1">
      <alignment horizontal="center"/>
    </xf>
    <xf numFmtId="0" fontId="0" fillId="13" borderId="33" xfId="0" applyFill="1" applyBorder="1" applyAlignment="1">
      <alignment horizontal="center"/>
    </xf>
    <xf numFmtId="0" fontId="0" fillId="11" borderId="7" xfId="0" applyFill="1" applyBorder="1" applyAlignment="1">
      <alignment horizontal="center"/>
    </xf>
    <xf numFmtId="0" fontId="0" fillId="9" borderId="13" xfId="0" applyFill="1" applyBorder="1" applyAlignment="1">
      <alignment horizontal="center"/>
    </xf>
    <xf numFmtId="0" fontId="0" fillId="13" borderId="15" xfId="0" applyFill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2" fillId="0" borderId="35" xfId="0" applyFont="1" applyBorder="1" applyAlignment="1">
      <alignment horizontal="center"/>
    </xf>
    <xf numFmtId="0" fontId="0" fillId="0" borderId="36" xfId="0" applyBorder="1" applyAlignment="1">
      <alignment horizontal="center"/>
    </xf>
    <xf numFmtId="0" fontId="2" fillId="0" borderId="37" xfId="0" applyFont="1" applyBorder="1" applyAlignment="1">
      <alignment horizontal="center"/>
    </xf>
    <xf numFmtId="0" fontId="2" fillId="0" borderId="38" xfId="0" applyFont="1" applyBorder="1" applyAlignment="1">
      <alignment horizontal="center"/>
    </xf>
    <xf numFmtId="0" fontId="2" fillId="0" borderId="39" xfId="0" applyFont="1" applyBorder="1" applyAlignment="1">
      <alignment horizontal="center"/>
    </xf>
    <xf numFmtId="0" fontId="2" fillId="0" borderId="40" xfId="0" applyFont="1" applyBorder="1" applyAlignment="1">
      <alignment horizontal="center"/>
    </xf>
    <xf numFmtId="165" fontId="0" fillId="0" borderId="41" xfId="2" applyNumberFormat="1" applyFont="1" applyBorder="1" applyAlignment="1" applyProtection="1">
      <alignment horizontal="center"/>
    </xf>
    <xf numFmtId="0" fontId="2" fillId="0" borderId="42" xfId="0" applyFont="1" applyBorder="1" applyAlignment="1">
      <alignment horizontal="center"/>
    </xf>
    <xf numFmtId="165" fontId="0" fillId="0" borderId="43" xfId="2" applyNumberFormat="1" applyFont="1" applyBorder="1" applyAlignment="1" applyProtection="1">
      <alignment horizontal="center"/>
    </xf>
    <xf numFmtId="0" fontId="0" fillId="9" borderId="44" xfId="0" applyFill="1" applyBorder="1" applyAlignment="1">
      <alignment horizontal="center"/>
    </xf>
    <xf numFmtId="0" fontId="0" fillId="11" borderId="45" xfId="0" applyFill="1" applyBorder="1" applyAlignment="1">
      <alignment horizontal="center"/>
    </xf>
    <xf numFmtId="0" fontId="0" fillId="13" borderId="7" xfId="0" applyFill="1" applyBorder="1" applyAlignment="1">
      <alignment horizontal="center"/>
    </xf>
    <xf numFmtId="0" fontId="0" fillId="10" borderId="7" xfId="0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2" fillId="0" borderId="36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11" borderId="8" xfId="0" applyFill="1" applyBorder="1" applyAlignment="1">
      <alignment horizontal="center"/>
    </xf>
    <xf numFmtId="0" fontId="0" fillId="10" borderId="8" xfId="0" applyFill="1" applyBorder="1" applyAlignment="1">
      <alignment horizontal="center"/>
    </xf>
    <xf numFmtId="0" fontId="0" fillId="10" borderId="44" xfId="0" applyFont="1" applyFill="1" applyBorder="1" applyAlignment="1">
      <alignment horizontal="center"/>
    </xf>
    <xf numFmtId="0" fontId="0" fillId="14" borderId="33" xfId="0" applyFont="1" applyFill="1" applyBorder="1" applyAlignment="1">
      <alignment horizontal="center"/>
    </xf>
    <xf numFmtId="0" fontId="0" fillId="11" borderId="7" xfId="0" applyFont="1" applyFill="1" applyBorder="1" applyAlignment="1">
      <alignment horizontal="center"/>
    </xf>
    <xf numFmtId="0" fontId="0" fillId="14" borderId="9" xfId="0" applyFont="1" applyFill="1" applyBorder="1" applyAlignment="1">
      <alignment horizontal="center"/>
    </xf>
    <xf numFmtId="0" fontId="0" fillId="12" borderId="9" xfId="0" applyFont="1" applyFill="1" applyBorder="1" applyAlignment="1">
      <alignment horizontal="center"/>
    </xf>
    <xf numFmtId="0" fontId="0" fillId="12" borderId="7" xfId="0" applyFont="1" applyFill="1" applyBorder="1" applyAlignment="1">
      <alignment horizontal="center"/>
    </xf>
    <xf numFmtId="0" fontId="0" fillId="11" borderId="9" xfId="0" applyFont="1" applyFill="1" applyBorder="1" applyAlignment="1">
      <alignment horizontal="center"/>
    </xf>
    <xf numFmtId="0" fontId="0" fillId="10" borderId="14" xfId="0" applyFont="1" applyFill="1" applyBorder="1" applyAlignment="1">
      <alignment horizontal="center"/>
    </xf>
    <xf numFmtId="0" fontId="0" fillId="9" borderId="33" xfId="0" applyFill="1" applyBorder="1" applyAlignment="1">
      <alignment horizontal="center"/>
    </xf>
    <xf numFmtId="0" fontId="0" fillId="9" borderId="7" xfId="0" applyFill="1" applyBorder="1" applyAlignment="1">
      <alignment horizontal="center"/>
    </xf>
    <xf numFmtId="0" fontId="0" fillId="9" borderId="8" xfId="0" applyFill="1" applyBorder="1" applyAlignment="1">
      <alignment horizontal="center"/>
    </xf>
    <xf numFmtId="0" fontId="1" fillId="0" borderId="0" xfId="0" applyFont="1"/>
    <xf numFmtId="0" fontId="0" fillId="0" borderId="0" xfId="0" applyFont="1"/>
  </cellXfs>
  <cellStyles count="3">
    <cellStyle name="Moneda" xfId="1" builtinId="4"/>
    <cellStyle name="Normal" xfId="0" builtinId="0"/>
    <cellStyle name="Porcentaje" xfId="2" builtinId="5"/>
  </cellStyles>
  <dxfs count="2">
    <dxf>
      <font>
        <b/>
        <sz val="11"/>
        <color rgb="FFFFFFFF"/>
        <name val="Calibri"/>
        <family val="2"/>
        <charset val="1"/>
      </font>
      <fill>
        <patternFill>
          <bgColor rgb="FFCC0000"/>
        </patternFill>
      </fill>
    </dxf>
    <dxf>
      <font>
        <b/>
        <sz val="11"/>
        <color rgb="FFFFFFFF"/>
        <name val="Calibri"/>
        <family val="2"/>
        <charset val="1"/>
      </font>
      <fill>
        <patternFill>
          <bgColor rgb="FFCC0000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38"/>
      <rgbColor rgb="FFFF00FF"/>
      <rgbColor rgb="FF00FFFF"/>
      <rgbColor rgb="FFCC0000"/>
      <rgbColor rgb="FF008000"/>
      <rgbColor rgb="FF000080"/>
      <rgbColor rgb="FF808000"/>
      <rgbColor rgb="FF800080"/>
      <rgbColor rgb="FF008080"/>
      <rgbColor rgb="FFCCCCCC"/>
      <rgbColor rgb="FF808080"/>
      <rgbColor rgb="FF9999FF"/>
      <rgbColor rgb="FF993366"/>
      <rgbColor rgb="FFFFDE59"/>
      <rgbColor rgb="FFDBDBDB"/>
      <rgbColor rgb="FF660066"/>
      <rgbColor rgb="FFFF8080"/>
      <rgbColor rgb="FF0066CC"/>
      <rgbColor rgb="FFBDD7EE"/>
      <rgbColor rgb="FF000080"/>
      <rgbColor rgb="FFFF00FF"/>
      <rgbColor rgb="FFFFD428"/>
      <rgbColor rgb="FF00FFFF"/>
      <rgbColor rgb="FF800080"/>
      <rgbColor rgb="FF800000"/>
      <rgbColor rgb="FF008080"/>
      <rgbColor rgb="FF0000FF"/>
      <rgbColor rgb="FF00CCFF"/>
      <rgbColor rgb="FFCCFFFF"/>
      <rgbColor rgb="FFC5E0B4"/>
      <rgbColor rgb="FFFFE699"/>
      <rgbColor rgb="FFB4C7E7"/>
      <rgbColor rgb="FFFF99CC"/>
      <rgbColor rgb="FFCC99FF"/>
      <rgbColor rgb="FFF8CBAD"/>
      <rgbColor rgb="FF3366FF"/>
      <rgbColor rgb="FF33CCCC"/>
      <rgbColor rgb="FF99CC00"/>
      <rgbColor rgb="FFFFBF00"/>
      <rgbColor rgb="FFFF9900"/>
      <rgbColor rgb="FFFF3838"/>
      <rgbColor rgb="FF666699"/>
      <rgbColor rgb="FFB2B2B2"/>
      <rgbColor rgb="FF003366"/>
      <rgbColor rgb="FF3FAF4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2"/>
  <sheetViews>
    <sheetView zoomScale="75" zoomScaleNormal="75" workbookViewId="0">
      <selection activeCell="E1" sqref="E1"/>
    </sheetView>
  </sheetViews>
  <sheetFormatPr baseColWidth="10" defaultColWidth="11.5703125" defaultRowHeight="15" x14ac:dyDescent="0.25"/>
  <cols>
    <col min="1" max="1" width="5.140625" customWidth="1"/>
    <col min="2" max="2" width="27.7109375" customWidth="1"/>
    <col min="3" max="3" width="12.140625" customWidth="1"/>
    <col min="4" max="4" width="11.42578125" customWidth="1"/>
  </cols>
  <sheetData>
    <row r="1" spans="1:8" ht="15.75" x14ac:dyDescent="0.25">
      <c r="A1" s="14" t="s">
        <v>0</v>
      </c>
      <c r="B1" s="14"/>
      <c r="C1" s="14"/>
      <c r="D1" s="14"/>
    </row>
    <row r="3" spans="1:8" x14ac:dyDescent="0.25">
      <c r="B3" s="15" t="s">
        <v>1</v>
      </c>
      <c r="C3" s="16" t="s">
        <v>2</v>
      </c>
      <c r="D3" s="17" t="s">
        <v>3</v>
      </c>
    </row>
    <row r="4" spans="1:8" ht="15" customHeight="1" x14ac:dyDescent="0.25">
      <c r="B4" s="18" t="s">
        <v>4</v>
      </c>
      <c r="C4" s="19" t="s">
        <v>5</v>
      </c>
      <c r="D4" s="20" t="s">
        <v>6</v>
      </c>
      <c r="E4" s="21"/>
      <c r="F4" s="21"/>
      <c r="G4" s="21"/>
      <c r="H4" s="21"/>
    </row>
    <row r="5" spans="1:8" ht="15" customHeight="1" x14ac:dyDescent="0.25">
      <c r="B5" s="22" t="s">
        <v>7</v>
      </c>
      <c r="C5" s="19" t="s">
        <v>5</v>
      </c>
      <c r="D5" s="23" t="s">
        <v>8</v>
      </c>
    </row>
    <row r="6" spans="1:8" ht="15" customHeight="1" x14ac:dyDescent="0.25">
      <c r="B6" s="22" t="s">
        <v>9</v>
      </c>
      <c r="C6" s="19" t="s">
        <v>5</v>
      </c>
      <c r="D6" s="23" t="s">
        <v>10</v>
      </c>
    </row>
    <row r="7" spans="1:8" ht="15" customHeight="1" x14ac:dyDescent="0.25">
      <c r="B7" s="22" t="s">
        <v>11</v>
      </c>
      <c r="C7" s="19" t="s">
        <v>5</v>
      </c>
      <c r="D7" s="23" t="s">
        <v>12</v>
      </c>
    </row>
    <row r="8" spans="1:8" ht="15" customHeight="1" x14ac:dyDescent="0.25">
      <c r="B8" s="22" t="s">
        <v>13</v>
      </c>
      <c r="C8" s="19" t="s">
        <v>5</v>
      </c>
      <c r="D8" s="23" t="s">
        <v>14</v>
      </c>
    </row>
    <row r="9" spans="1:8" ht="15" customHeight="1" x14ac:dyDescent="0.25">
      <c r="B9" s="22" t="s">
        <v>15</v>
      </c>
      <c r="C9" s="19" t="s">
        <v>5</v>
      </c>
      <c r="D9" s="23" t="s">
        <v>16</v>
      </c>
    </row>
    <row r="10" spans="1:8" x14ac:dyDescent="0.25">
      <c r="B10" s="24" t="s">
        <v>17</v>
      </c>
      <c r="C10" s="25" t="e">
        <f>C6*C7*C8*C9</f>
        <v>#VALUE!</v>
      </c>
      <c r="D10" s="23" t="str">
        <f>D4</f>
        <v>u/semana</v>
      </c>
    </row>
    <row r="11" spans="1:8" x14ac:dyDescent="0.25">
      <c r="B11" s="26" t="s">
        <v>18</v>
      </c>
      <c r="C11" s="27" t="e">
        <f>C4/C10</f>
        <v>#VALUE!</v>
      </c>
      <c r="D11" s="28" t="s">
        <v>19</v>
      </c>
    </row>
    <row r="12" spans="1:8" x14ac:dyDescent="0.25">
      <c r="B12" s="26" t="s">
        <v>20</v>
      </c>
      <c r="C12" s="27" t="e">
        <f>1-C11</f>
        <v>#VALUE!</v>
      </c>
      <c r="D12" s="28" t="s">
        <v>19</v>
      </c>
    </row>
    <row r="13" spans="1:8" x14ac:dyDescent="0.25">
      <c r="B13" s="29" t="s">
        <v>21</v>
      </c>
      <c r="C13" s="30" t="e">
        <f>C4/C5</f>
        <v>#VALUE!</v>
      </c>
      <c r="D13" s="31" t="s">
        <v>19</v>
      </c>
    </row>
    <row r="14" spans="1:8" x14ac:dyDescent="0.25">
      <c r="C14" s="32"/>
      <c r="D14" s="32"/>
    </row>
    <row r="16" spans="1:8" ht="15.75" hidden="1" x14ac:dyDescent="0.25">
      <c r="A16" s="33" t="s">
        <v>22</v>
      </c>
    </row>
    <row r="17" spans="1:3" hidden="1" x14ac:dyDescent="0.25"/>
    <row r="18" spans="1:3" hidden="1" x14ac:dyDescent="0.25">
      <c r="A18" s="15" t="s">
        <v>1</v>
      </c>
      <c r="B18" s="16" t="s">
        <v>2</v>
      </c>
      <c r="C18" s="17" t="s">
        <v>3</v>
      </c>
    </row>
    <row r="19" spans="1:3" hidden="1" x14ac:dyDescent="0.25">
      <c r="A19" s="18" t="s">
        <v>23</v>
      </c>
      <c r="B19" s="34">
        <f>B20*B21*B27*60</f>
        <v>171.42857142857144</v>
      </c>
      <c r="C19" s="20" t="s">
        <v>24</v>
      </c>
    </row>
    <row r="20" spans="1:3" hidden="1" x14ac:dyDescent="0.25">
      <c r="A20" s="22" t="s">
        <v>9</v>
      </c>
      <c r="B20" s="35">
        <v>8</v>
      </c>
      <c r="C20" s="23" t="s">
        <v>10</v>
      </c>
    </row>
    <row r="21" spans="1:3" hidden="1" x14ac:dyDescent="0.25">
      <c r="A21" s="22" t="s">
        <v>11</v>
      </c>
      <c r="B21" s="36">
        <v>1</v>
      </c>
      <c r="C21" s="23" t="s">
        <v>12</v>
      </c>
    </row>
    <row r="22" spans="1:3" hidden="1" x14ac:dyDescent="0.25">
      <c r="A22" s="22" t="s">
        <v>15</v>
      </c>
      <c r="B22" s="37">
        <f>B19/(B20*B21)</f>
        <v>21.428571428571431</v>
      </c>
      <c r="C22" s="23" t="s">
        <v>16</v>
      </c>
    </row>
    <row r="23" spans="1:3" hidden="1" x14ac:dyDescent="0.25">
      <c r="A23" s="29" t="s">
        <v>25</v>
      </c>
      <c r="B23" s="38">
        <f>3600/B22</f>
        <v>167.99999999999997</v>
      </c>
      <c r="C23" s="31" t="s">
        <v>26</v>
      </c>
    </row>
    <row r="24" spans="1:3" hidden="1" x14ac:dyDescent="0.25"/>
    <row r="25" spans="1:3" hidden="1" x14ac:dyDescent="0.25"/>
    <row r="26" spans="1:3" hidden="1" x14ac:dyDescent="0.25">
      <c r="A26" s="15" t="s">
        <v>1</v>
      </c>
      <c r="B26" s="16" t="s">
        <v>2</v>
      </c>
      <c r="C26" s="17" t="s">
        <v>3</v>
      </c>
    </row>
    <row r="27" spans="1:3" hidden="1" x14ac:dyDescent="0.25">
      <c r="A27" s="18" t="s">
        <v>23</v>
      </c>
      <c r="B27" s="39">
        <f>5/14</f>
        <v>0.35714285714285715</v>
      </c>
      <c r="C27" s="20" t="s">
        <v>27</v>
      </c>
    </row>
    <row r="28" spans="1:3" hidden="1" x14ac:dyDescent="0.25">
      <c r="A28" s="22" t="s">
        <v>28</v>
      </c>
      <c r="B28" s="37">
        <v>180</v>
      </c>
      <c r="C28" s="23" t="s">
        <v>29</v>
      </c>
    </row>
    <row r="29" spans="1:3" hidden="1" x14ac:dyDescent="0.25">
      <c r="A29" s="22" t="s">
        <v>30</v>
      </c>
      <c r="B29" s="36">
        <v>15</v>
      </c>
      <c r="C29" s="23" t="s">
        <v>31</v>
      </c>
    </row>
    <row r="30" spans="1:3" hidden="1" x14ac:dyDescent="0.25">
      <c r="A30" s="22" t="s">
        <v>32</v>
      </c>
      <c r="B30" s="40">
        <f>(B27*B28)/B29</f>
        <v>4.2857142857142865</v>
      </c>
      <c r="C30" s="23" t="s">
        <v>33</v>
      </c>
    </row>
    <row r="31" spans="1:3" hidden="1" x14ac:dyDescent="0.25">
      <c r="A31" s="24" t="s">
        <v>34</v>
      </c>
      <c r="B31" s="41">
        <f>ROUNDUP((B27*B28)/B29,0)</f>
        <v>5</v>
      </c>
      <c r="C31" s="23" t="s">
        <v>33</v>
      </c>
    </row>
    <row r="32" spans="1:3" hidden="1" x14ac:dyDescent="0.25">
      <c r="A32" s="29" t="s">
        <v>35</v>
      </c>
      <c r="B32" s="42">
        <f>B29*B31</f>
        <v>75</v>
      </c>
      <c r="C32" s="31" t="s">
        <v>8</v>
      </c>
    </row>
  </sheetData>
  <mergeCells count="1">
    <mergeCell ref="A1:D1"/>
  </mergeCells>
  <pageMargins left="0.7" right="0.7" top="0.75" bottom="0.75" header="0.511811023622047" footer="0.511811023622047"/>
  <pageSetup paperSize="9" orientation="portrait" horizontalDpi="300" verticalDpi="30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44"/>
  <sheetViews>
    <sheetView showGridLines="0" zoomScale="75" zoomScaleNormal="75" workbookViewId="0">
      <selection activeCell="M6" sqref="M6"/>
    </sheetView>
  </sheetViews>
  <sheetFormatPr baseColWidth="10" defaultColWidth="10.7109375" defaultRowHeight="15" x14ac:dyDescent="0.25"/>
  <cols>
    <col min="1" max="1" width="5.140625" customWidth="1"/>
    <col min="2" max="2" width="35.28515625" customWidth="1"/>
    <col min="3" max="3" width="12" customWidth="1"/>
    <col min="4" max="4" width="13.140625" customWidth="1"/>
    <col min="5" max="5" width="12.7109375" customWidth="1"/>
    <col min="6" max="6" width="18.42578125" customWidth="1"/>
    <col min="7" max="7" width="5.140625" customWidth="1"/>
    <col min="8" max="8" width="8.5703125" customWidth="1"/>
    <col min="9" max="9" width="13.42578125" customWidth="1"/>
    <col min="10" max="10" width="14.7109375" customWidth="1"/>
    <col min="11" max="11" width="9.140625" customWidth="1"/>
    <col min="12" max="12" width="14.7109375" customWidth="1"/>
    <col min="13" max="13" width="12.7109375" customWidth="1"/>
    <col min="15" max="15" width="13" customWidth="1"/>
  </cols>
  <sheetData>
    <row r="1" spans="1:13" ht="15.75" x14ac:dyDescent="0.25">
      <c r="A1" s="14" t="s">
        <v>120</v>
      </c>
      <c r="B1" s="14"/>
      <c r="C1" s="14"/>
      <c r="D1" s="14"/>
      <c r="E1" s="14"/>
      <c r="F1" s="14"/>
      <c r="G1" s="239" t="s">
        <v>121</v>
      </c>
      <c r="H1" s="239"/>
      <c r="I1" s="239"/>
      <c r="J1" s="239"/>
      <c r="K1" s="239"/>
      <c r="L1" s="239"/>
      <c r="M1" s="239"/>
    </row>
    <row r="3" spans="1:13" x14ac:dyDescent="0.25">
      <c r="B3" s="25" t="s">
        <v>1</v>
      </c>
      <c r="C3" s="25" t="s">
        <v>122</v>
      </c>
      <c r="D3" s="25" t="s">
        <v>2</v>
      </c>
      <c r="E3" s="25" t="s">
        <v>3</v>
      </c>
      <c r="H3" s="25" t="s">
        <v>123</v>
      </c>
      <c r="I3" s="25" t="s">
        <v>124</v>
      </c>
      <c r="J3" s="25" t="s">
        <v>125</v>
      </c>
      <c r="K3" s="25" t="s">
        <v>126</v>
      </c>
      <c r="L3" s="25" t="s">
        <v>127</v>
      </c>
      <c r="M3" s="25" t="s">
        <v>128</v>
      </c>
    </row>
    <row r="4" spans="1:13" x14ac:dyDescent="0.25">
      <c r="B4" s="35" t="s">
        <v>129</v>
      </c>
      <c r="C4" s="35" t="s">
        <v>43</v>
      </c>
      <c r="D4" s="151">
        <v>3500</v>
      </c>
      <c r="E4" s="35" t="s">
        <v>130</v>
      </c>
      <c r="H4" s="35" t="s">
        <v>131</v>
      </c>
      <c r="I4" s="152" t="s">
        <v>5</v>
      </c>
      <c r="J4" s="152" t="s">
        <v>5</v>
      </c>
      <c r="K4" s="153" t="e">
        <f>I4*J4</f>
        <v>#VALUE!</v>
      </c>
      <c r="L4" s="154" t="e">
        <f>K4/$K$9</f>
        <v>#VALUE!</v>
      </c>
      <c r="M4" s="152" t="s">
        <v>132</v>
      </c>
    </row>
    <row r="5" spans="1:13" x14ac:dyDescent="0.25">
      <c r="B5" s="35" t="s">
        <v>133</v>
      </c>
      <c r="C5" s="35" t="s">
        <v>134</v>
      </c>
      <c r="D5" s="152">
        <v>75</v>
      </c>
      <c r="E5" s="35" t="s">
        <v>135</v>
      </c>
      <c r="H5" s="35" t="s">
        <v>136</v>
      </c>
      <c r="I5" s="152" t="s">
        <v>5</v>
      </c>
      <c r="J5" s="152" t="s">
        <v>5</v>
      </c>
      <c r="K5" s="153" t="e">
        <f>I5*J5</f>
        <v>#VALUE!</v>
      </c>
      <c r="L5" s="154" t="e">
        <f>K5/$K$9</f>
        <v>#VALUE!</v>
      </c>
      <c r="M5" s="152" t="s">
        <v>132</v>
      </c>
    </row>
    <row r="6" spans="1:13" x14ac:dyDescent="0.25">
      <c r="B6" s="35" t="s">
        <v>124</v>
      </c>
      <c r="C6" s="35" t="s">
        <v>44</v>
      </c>
      <c r="D6" s="152">
        <v>25</v>
      </c>
      <c r="E6" s="35" t="s">
        <v>137</v>
      </c>
      <c r="H6" s="35" t="s">
        <v>138</v>
      </c>
      <c r="I6" s="152" t="s">
        <v>5</v>
      </c>
      <c r="J6" s="152" t="s">
        <v>5</v>
      </c>
      <c r="K6" s="153" t="e">
        <f>I6*J6</f>
        <v>#VALUE!</v>
      </c>
      <c r="L6" s="154" t="e">
        <f>K6/$K$9</f>
        <v>#VALUE!</v>
      </c>
      <c r="M6" s="152" t="s">
        <v>132</v>
      </c>
    </row>
    <row r="7" spans="1:13" x14ac:dyDescent="0.25">
      <c r="B7" s="35" t="s">
        <v>139</v>
      </c>
      <c r="C7" s="35" t="s">
        <v>140</v>
      </c>
      <c r="D7" s="155">
        <v>0.25</v>
      </c>
      <c r="E7" s="35" t="s">
        <v>141</v>
      </c>
      <c r="H7" s="35" t="s">
        <v>142</v>
      </c>
      <c r="I7" s="152" t="s">
        <v>5</v>
      </c>
      <c r="J7" s="152" t="s">
        <v>5</v>
      </c>
      <c r="K7" s="153" t="e">
        <f>I7*J7</f>
        <v>#VALUE!</v>
      </c>
      <c r="L7" s="154" t="e">
        <f>K7/$K$9</f>
        <v>#VALUE!</v>
      </c>
      <c r="M7" s="152" t="s">
        <v>132</v>
      </c>
    </row>
    <row r="8" spans="1:13" x14ac:dyDescent="0.25">
      <c r="B8" s="25" t="s">
        <v>143</v>
      </c>
      <c r="C8" s="25" t="s">
        <v>144</v>
      </c>
      <c r="D8" s="41">
        <f>SQRT((2*D5*D4)/(D7*D6))</f>
        <v>289.82753492378879</v>
      </c>
      <c r="E8" s="35" t="s">
        <v>8</v>
      </c>
      <c r="H8" s="35" t="s">
        <v>145</v>
      </c>
      <c r="I8" s="152" t="s">
        <v>5</v>
      </c>
      <c r="J8" s="152" t="s">
        <v>5</v>
      </c>
      <c r="K8" s="153" t="e">
        <f>I8*J8</f>
        <v>#VALUE!</v>
      </c>
      <c r="L8" s="154" t="e">
        <f>K8/$K$9</f>
        <v>#VALUE!</v>
      </c>
      <c r="M8" s="152" t="s">
        <v>132</v>
      </c>
    </row>
    <row r="9" spans="1:13" x14ac:dyDescent="0.25">
      <c r="B9" s="35" t="s">
        <v>146</v>
      </c>
      <c r="C9" s="35" t="s">
        <v>147</v>
      </c>
      <c r="D9" s="37">
        <f>D4/D8</f>
        <v>12.076147288491198</v>
      </c>
      <c r="E9" s="35" t="s">
        <v>148</v>
      </c>
      <c r="H9" s="25" t="s">
        <v>53</v>
      </c>
      <c r="I9" s="35"/>
      <c r="J9" s="35"/>
      <c r="K9" s="156" t="e">
        <f>SUM(K4:K8)</f>
        <v>#VALUE!</v>
      </c>
      <c r="L9" s="157" t="e">
        <f>SUM(L4:L8)</f>
        <v>#VALUE!</v>
      </c>
      <c r="M9" s="35"/>
    </row>
    <row r="10" spans="1:13" x14ac:dyDescent="0.25">
      <c r="B10" s="35" t="s">
        <v>149</v>
      </c>
      <c r="C10" s="35" t="s">
        <v>150</v>
      </c>
      <c r="D10" s="158">
        <f>1/D9</f>
        <v>8.2807867121082512E-2</v>
      </c>
      <c r="E10" s="35" t="s">
        <v>151</v>
      </c>
    </row>
    <row r="11" spans="1:13" x14ac:dyDescent="0.25">
      <c r="C11" s="111"/>
      <c r="D11" s="32"/>
      <c r="E11" s="32"/>
    </row>
    <row r="12" spans="1:13" x14ac:dyDescent="0.25">
      <c r="B12" s="25" t="s">
        <v>152</v>
      </c>
      <c r="C12" s="25" t="s">
        <v>122</v>
      </c>
      <c r="D12" s="25" t="s">
        <v>2</v>
      </c>
      <c r="E12" s="25" t="s">
        <v>3</v>
      </c>
    </row>
    <row r="13" spans="1:13" x14ac:dyDescent="0.25">
      <c r="B13" s="35" t="s">
        <v>153</v>
      </c>
      <c r="C13" s="35" t="s">
        <v>154</v>
      </c>
      <c r="D13" s="37">
        <f>(D5*D4)/D8</f>
        <v>905.71104663683991</v>
      </c>
      <c r="E13" s="35" t="s">
        <v>155</v>
      </c>
    </row>
    <row r="14" spans="1:13" x14ac:dyDescent="0.25">
      <c r="B14" s="35" t="s">
        <v>156</v>
      </c>
      <c r="C14" s="35" t="s">
        <v>157</v>
      </c>
      <c r="D14" s="37">
        <f>(D7*D6*D8)/2</f>
        <v>905.71104663683991</v>
      </c>
      <c r="E14" s="35" t="s">
        <v>155</v>
      </c>
    </row>
    <row r="15" spans="1:13" x14ac:dyDescent="0.25">
      <c r="B15" s="25" t="s">
        <v>158</v>
      </c>
      <c r="C15" s="35" t="s">
        <v>159</v>
      </c>
      <c r="D15" s="41">
        <f>SUM(D13:D14)</f>
        <v>1811.4220932736798</v>
      </c>
      <c r="E15" s="35" t="s">
        <v>155</v>
      </c>
    </row>
    <row r="17" spans="1:6" ht="15.75" x14ac:dyDescent="0.25">
      <c r="A17" s="14" t="s">
        <v>160</v>
      </c>
      <c r="B17" s="14"/>
      <c r="C17" s="14"/>
      <c r="D17" s="14"/>
      <c r="E17" s="14"/>
      <c r="F17" s="14"/>
    </row>
    <row r="19" spans="1:6" x14ac:dyDescent="0.25">
      <c r="B19" s="25" t="s">
        <v>1</v>
      </c>
      <c r="C19" s="25" t="s">
        <v>122</v>
      </c>
      <c r="D19" s="25" t="s">
        <v>2</v>
      </c>
      <c r="E19" s="25" t="s">
        <v>3</v>
      </c>
    </row>
    <row r="20" spans="1:6" x14ac:dyDescent="0.25">
      <c r="B20" s="35" t="s">
        <v>161</v>
      </c>
      <c r="C20" s="35" t="s">
        <v>162</v>
      </c>
      <c r="D20" s="159">
        <v>3.5999999999999997E-2</v>
      </c>
      <c r="E20" s="35" t="s">
        <v>151</v>
      </c>
    </row>
    <row r="21" spans="1:6" x14ac:dyDescent="0.25">
      <c r="B21" s="35" t="s">
        <v>163</v>
      </c>
      <c r="C21" s="35" t="s">
        <v>164</v>
      </c>
      <c r="D21" s="159">
        <f>1/52</f>
        <v>1.9230769230769232E-2</v>
      </c>
      <c r="E21" s="35" t="s">
        <v>151</v>
      </c>
    </row>
    <row r="22" spans="1:6" x14ac:dyDescent="0.25">
      <c r="B22" s="35" t="s">
        <v>165</v>
      </c>
      <c r="C22" s="35" t="s">
        <v>166</v>
      </c>
      <c r="D22" s="152">
        <v>12</v>
      </c>
      <c r="E22" s="35" t="s">
        <v>8</v>
      </c>
    </row>
    <row r="23" spans="1:6" x14ac:dyDescent="0.25">
      <c r="B23" s="35" t="s">
        <v>167</v>
      </c>
      <c r="C23" s="35" t="s">
        <v>168</v>
      </c>
      <c r="D23" s="155">
        <v>0.95</v>
      </c>
      <c r="E23" s="35" t="s">
        <v>19</v>
      </c>
    </row>
    <row r="24" spans="1:6" x14ac:dyDescent="0.25">
      <c r="B24" s="35" t="s">
        <v>169</v>
      </c>
      <c r="C24" s="35" t="s">
        <v>170</v>
      </c>
      <c r="D24" s="40">
        <f>NORMSINV(D23)</f>
        <v>1.6448536269514715</v>
      </c>
      <c r="E24" s="35" t="s">
        <v>93</v>
      </c>
    </row>
    <row r="25" spans="1:6" x14ac:dyDescent="0.25">
      <c r="B25" s="35" t="s">
        <v>171</v>
      </c>
      <c r="C25" s="35" t="s">
        <v>172</v>
      </c>
      <c r="D25" s="37">
        <f>ROUND($D$4*D20,0)</f>
        <v>126</v>
      </c>
      <c r="E25" s="35" t="s">
        <v>8</v>
      </c>
      <c r="F25" s="124" t="s">
        <v>173</v>
      </c>
    </row>
    <row r="26" spans="1:6" x14ac:dyDescent="0.25">
      <c r="B26" s="35" t="s">
        <v>174</v>
      </c>
      <c r="C26" s="35" t="s">
        <v>175</v>
      </c>
      <c r="D26" s="37">
        <f>D22*SQRT(D20/D21)</f>
        <v>16.418526121427586</v>
      </c>
      <c r="E26" s="35" t="s">
        <v>8</v>
      </c>
      <c r="F26" s="124" t="s">
        <v>176</v>
      </c>
    </row>
    <row r="27" spans="1:6" x14ac:dyDescent="0.25">
      <c r="B27" s="35" t="s">
        <v>177</v>
      </c>
      <c r="C27" s="35" t="s">
        <v>178</v>
      </c>
      <c r="D27" s="37">
        <f>D24*D26</f>
        <v>27.006072240027642</v>
      </c>
      <c r="E27" s="35" t="s">
        <v>8</v>
      </c>
      <c r="F27" s="160" t="s">
        <v>179</v>
      </c>
    </row>
    <row r="28" spans="1:6" x14ac:dyDescent="0.25">
      <c r="B28" s="35" t="s">
        <v>180</v>
      </c>
      <c r="C28" s="35" t="s">
        <v>181</v>
      </c>
      <c r="D28" s="37">
        <f>(D8/2)+D27</f>
        <v>171.91983970192203</v>
      </c>
      <c r="E28" s="35" t="s">
        <v>8</v>
      </c>
      <c r="F28" s="124" t="s">
        <v>182</v>
      </c>
    </row>
    <row r="29" spans="1:6" x14ac:dyDescent="0.25">
      <c r="B29" s="25" t="s">
        <v>183</v>
      </c>
      <c r="C29" s="25" t="s">
        <v>184</v>
      </c>
      <c r="D29" s="41">
        <f>D25+D27</f>
        <v>153.00607224002763</v>
      </c>
      <c r="E29" s="35" t="s">
        <v>8</v>
      </c>
      <c r="F29" s="160" t="s">
        <v>185</v>
      </c>
    </row>
    <row r="31" spans="1:6" ht="15.75" x14ac:dyDescent="0.25">
      <c r="A31" s="14" t="s">
        <v>186</v>
      </c>
      <c r="B31" s="14"/>
      <c r="C31" s="14"/>
      <c r="D31" s="14"/>
      <c r="E31" s="14"/>
      <c r="F31" s="14"/>
    </row>
    <row r="33" spans="2:6" x14ac:dyDescent="0.25">
      <c r="B33" s="25" t="s">
        <v>1</v>
      </c>
      <c r="C33" s="25" t="s">
        <v>122</v>
      </c>
      <c r="D33" s="25" t="s">
        <v>2</v>
      </c>
      <c r="E33" s="25" t="s">
        <v>3</v>
      </c>
    </row>
    <row r="34" spans="2:6" x14ac:dyDescent="0.25">
      <c r="B34" s="35" t="s">
        <v>161</v>
      </c>
      <c r="C34" s="35" t="s">
        <v>162</v>
      </c>
      <c r="D34" s="159">
        <f>D20</f>
        <v>3.5999999999999997E-2</v>
      </c>
      <c r="E34" s="35" t="s">
        <v>151</v>
      </c>
    </row>
    <row r="35" spans="2:6" x14ac:dyDescent="0.25">
      <c r="B35" s="35" t="s">
        <v>163</v>
      </c>
      <c r="C35" s="35" t="s">
        <v>164</v>
      </c>
      <c r="D35" s="159">
        <f>1/52</f>
        <v>1.9230769230769232E-2</v>
      </c>
      <c r="E35" s="35" t="s">
        <v>151</v>
      </c>
    </row>
    <row r="36" spans="2:6" x14ac:dyDescent="0.25">
      <c r="B36" s="35" t="s">
        <v>165</v>
      </c>
      <c r="C36" s="35" t="s">
        <v>166</v>
      </c>
      <c r="D36" s="152">
        <v>12</v>
      </c>
      <c r="E36" s="35" t="s">
        <v>8</v>
      </c>
    </row>
    <row r="37" spans="2:6" x14ac:dyDescent="0.25">
      <c r="B37" s="35" t="s">
        <v>167</v>
      </c>
      <c r="C37" s="35" t="s">
        <v>168</v>
      </c>
      <c r="D37" s="155">
        <f>D23</f>
        <v>0.95</v>
      </c>
      <c r="E37" s="35" t="s">
        <v>19</v>
      </c>
      <c r="F37" s="32"/>
    </row>
    <row r="38" spans="2:6" x14ac:dyDescent="0.25">
      <c r="B38" s="35" t="s">
        <v>187</v>
      </c>
      <c r="C38" s="35" t="s">
        <v>150</v>
      </c>
      <c r="D38" s="158">
        <f>D10</f>
        <v>8.2807867121082512E-2</v>
      </c>
      <c r="E38" s="35" t="s">
        <v>188</v>
      </c>
    </row>
    <row r="39" spans="2:6" x14ac:dyDescent="0.25">
      <c r="B39" s="35" t="s">
        <v>169</v>
      </c>
      <c r="C39" s="35" t="s">
        <v>170</v>
      </c>
      <c r="D39" s="40">
        <f>NORMSINV(D37)</f>
        <v>1.6448536269514715</v>
      </c>
      <c r="E39" s="35" t="s">
        <v>189</v>
      </c>
    </row>
    <row r="40" spans="2:6" x14ac:dyDescent="0.25">
      <c r="B40" s="35" t="s">
        <v>190</v>
      </c>
      <c r="C40" s="35" t="s">
        <v>191</v>
      </c>
      <c r="D40" s="37">
        <f>ROUND($D$4*(D38+D34),0)</f>
        <v>416</v>
      </c>
      <c r="E40" s="35" t="s">
        <v>8</v>
      </c>
      <c r="F40" s="124" t="s">
        <v>192</v>
      </c>
    </row>
    <row r="41" spans="2:6" x14ac:dyDescent="0.25">
      <c r="B41" s="35" t="s">
        <v>193</v>
      </c>
      <c r="C41" s="35" t="s">
        <v>194</v>
      </c>
      <c r="D41" s="37">
        <f>ROUND(D36*SQRT((D38+D34)/D35),0)</f>
        <v>30</v>
      </c>
      <c r="E41" s="35" t="s">
        <v>8</v>
      </c>
      <c r="F41" s="124" t="s">
        <v>195</v>
      </c>
    </row>
    <row r="42" spans="2:6" x14ac:dyDescent="0.25">
      <c r="B42" s="35" t="s">
        <v>196</v>
      </c>
      <c r="C42" s="35" t="s">
        <v>197</v>
      </c>
      <c r="D42" s="37">
        <f>D39*D41</f>
        <v>49.345608808544142</v>
      </c>
      <c r="E42" s="35" t="s">
        <v>8</v>
      </c>
      <c r="F42" s="160" t="s">
        <v>198</v>
      </c>
    </row>
    <row r="43" spans="2:6" x14ac:dyDescent="0.25">
      <c r="B43" s="35" t="s">
        <v>180</v>
      </c>
      <c r="C43" s="35" t="s">
        <v>181</v>
      </c>
      <c r="D43" s="37">
        <f>(D8/2)+D42</f>
        <v>194.25937627043854</v>
      </c>
      <c r="E43" s="35" t="s">
        <v>8</v>
      </c>
      <c r="F43" s="124" t="s">
        <v>199</v>
      </c>
    </row>
    <row r="44" spans="2:6" x14ac:dyDescent="0.25">
      <c r="B44" s="25" t="s">
        <v>200</v>
      </c>
      <c r="C44" s="25" t="s">
        <v>201</v>
      </c>
      <c r="D44" s="41">
        <f>D40+D42</f>
        <v>465.34560880854417</v>
      </c>
      <c r="E44" s="35" t="s">
        <v>8</v>
      </c>
      <c r="F44" s="160" t="s">
        <v>202</v>
      </c>
    </row>
  </sheetData>
  <mergeCells count="4">
    <mergeCell ref="A1:F1"/>
    <mergeCell ref="G1:M1"/>
    <mergeCell ref="A17:F17"/>
    <mergeCell ref="A31:F31"/>
  </mergeCells>
  <dataValidations count="1">
    <dataValidation type="list" operator="equal" allowBlank="1" showErrorMessage="1" sqref="M4:M8" xr:uid="{00000000-0002-0000-0900-000000000000}">
      <formula1>"A,B,C"</formula1>
      <formula2>0</formula2>
    </dataValidation>
  </dataValidations>
  <pageMargins left="0.7" right="0.7" top="0.75" bottom="0.75" header="0.511811023622047" footer="0.511811023622047"/>
  <pageSetup paperSize="9" orientation="portrait" horizontalDpi="300" verticalDpi="30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44"/>
  <sheetViews>
    <sheetView topLeftCell="B1" zoomScale="75" zoomScaleNormal="75" workbookViewId="0">
      <selection activeCell="D5" sqref="D5"/>
    </sheetView>
  </sheetViews>
  <sheetFormatPr baseColWidth="10" defaultColWidth="10.7109375" defaultRowHeight="15" x14ac:dyDescent="0.25"/>
  <cols>
    <col min="2" max="2" width="33" customWidth="1"/>
    <col min="3" max="3" width="7.28515625" customWidth="1"/>
    <col min="4" max="4" width="7.7109375" customWidth="1"/>
    <col min="5" max="5" width="8.85546875" customWidth="1"/>
    <col min="7" max="7" width="4.5703125" customWidth="1"/>
    <col min="8" max="8" width="8.42578125" customWidth="1"/>
    <col min="10" max="10" width="13.5703125" customWidth="1"/>
    <col min="11" max="11" width="12.42578125" customWidth="1"/>
    <col min="12" max="12" width="14.5703125" customWidth="1"/>
    <col min="13" max="13" width="13.140625" customWidth="1"/>
  </cols>
  <sheetData>
    <row r="1" spans="1:5" ht="15.75" x14ac:dyDescent="0.25">
      <c r="A1" s="33" t="s">
        <v>203</v>
      </c>
    </row>
    <row r="3" spans="1:5" x14ac:dyDescent="0.25">
      <c r="B3" s="15" t="s">
        <v>1</v>
      </c>
      <c r="C3" s="16" t="s">
        <v>122</v>
      </c>
      <c r="D3" s="16" t="s">
        <v>2</v>
      </c>
      <c r="E3" s="17" t="s">
        <v>3</v>
      </c>
    </row>
    <row r="4" spans="1:5" x14ac:dyDescent="0.25">
      <c r="B4" s="18" t="s">
        <v>129</v>
      </c>
      <c r="C4" s="82" t="s">
        <v>43</v>
      </c>
      <c r="D4" s="82">
        <f>(120000*12)/100</f>
        <v>14400</v>
      </c>
      <c r="E4" s="20" t="s">
        <v>130</v>
      </c>
    </row>
    <row r="5" spans="1:5" x14ac:dyDescent="0.25">
      <c r="B5" s="22" t="s">
        <v>133</v>
      </c>
      <c r="C5" s="35" t="s">
        <v>134</v>
      </c>
      <c r="D5" s="35">
        <v>400</v>
      </c>
      <c r="E5" s="23" t="s">
        <v>135</v>
      </c>
    </row>
    <row r="6" spans="1:5" x14ac:dyDescent="0.25">
      <c r="B6" s="22" t="s">
        <v>124</v>
      </c>
      <c r="C6" s="35" t="s">
        <v>44</v>
      </c>
      <c r="D6" s="35">
        <v>1000</v>
      </c>
      <c r="E6" s="23" t="s">
        <v>137</v>
      </c>
    </row>
    <row r="7" spans="1:5" x14ac:dyDescent="0.25">
      <c r="B7" s="22" t="s">
        <v>139</v>
      </c>
      <c r="C7" s="35" t="s">
        <v>140</v>
      </c>
      <c r="D7" s="154">
        <v>0.15</v>
      </c>
      <c r="E7" s="23" t="s">
        <v>141</v>
      </c>
    </row>
    <row r="8" spans="1:5" x14ac:dyDescent="0.25">
      <c r="B8" s="24" t="s">
        <v>143</v>
      </c>
      <c r="C8" s="25" t="s">
        <v>144</v>
      </c>
      <c r="D8" s="41">
        <f>SQRT((2*D5*D4)/(D7*D6))</f>
        <v>277.12812921102039</v>
      </c>
      <c r="E8" s="23" t="s">
        <v>8</v>
      </c>
    </row>
    <row r="9" spans="1:5" x14ac:dyDescent="0.25">
      <c r="B9" s="22" t="s">
        <v>146</v>
      </c>
      <c r="C9" s="35" t="s">
        <v>147</v>
      </c>
      <c r="D9" s="40">
        <f>D4/D8</f>
        <v>51.961524227066313</v>
      </c>
      <c r="E9" s="23" t="s">
        <v>148</v>
      </c>
    </row>
    <row r="10" spans="1:5" x14ac:dyDescent="0.25">
      <c r="B10" s="105" t="s">
        <v>149</v>
      </c>
      <c r="C10" s="89" t="s">
        <v>204</v>
      </c>
      <c r="D10" s="161">
        <f>1/D9</f>
        <v>1.9245008972987528E-2</v>
      </c>
      <c r="E10" s="31"/>
    </row>
    <row r="11" spans="1:5" x14ac:dyDescent="0.25">
      <c r="C11" s="111"/>
      <c r="D11" s="32"/>
      <c r="E11" s="32"/>
    </row>
    <row r="12" spans="1:5" x14ac:dyDescent="0.25">
      <c r="B12" s="15" t="s">
        <v>152</v>
      </c>
      <c r="C12" s="16" t="s">
        <v>122</v>
      </c>
      <c r="D12" s="16" t="s">
        <v>2</v>
      </c>
      <c r="E12" s="17" t="s">
        <v>3</v>
      </c>
    </row>
    <row r="13" spans="1:5" x14ac:dyDescent="0.25">
      <c r="B13" s="18" t="s">
        <v>153</v>
      </c>
      <c r="C13" s="82" t="s">
        <v>154</v>
      </c>
      <c r="D13" s="34">
        <f>(D5*D4)/D8</f>
        <v>20784.609690826524</v>
      </c>
      <c r="E13" s="20" t="s">
        <v>155</v>
      </c>
    </row>
    <row r="14" spans="1:5" x14ac:dyDescent="0.25">
      <c r="B14" s="162" t="s">
        <v>156</v>
      </c>
      <c r="C14" s="94" t="s">
        <v>157</v>
      </c>
      <c r="D14" s="163">
        <f>(D7*D6*D8)/2</f>
        <v>20784.609690826528</v>
      </c>
      <c r="E14" s="28" t="s">
        <v>155</v>
      </c>
    </row>
    <row r="15" spans="1:5" x14ac:dyDescent="0.25">
      <c r="B15" s="15" t="s">
        <v>158</v>
      </c>
      <c r="C15" s="164" t="s">
        <v>159</v>
      </c>
      <c r="D15" s="165">
        <f>SUM(D13:D14)</f>
        <v>41569.219381653049</v>
      </c>
      <c r="E15" s="166" t="s">
        <v>155</v>
      </c>
    </row>
    <row r="18" spans="1:13" ht="15.75" x14ac:dyDescent="0.25">
      <c r="A18" s="33" t="s">
        <v>160</v>
      </c>
    </row>
    <row r="20" spans="1:13" x14ac:dyDescent="0.25">
      <c r="B20" s="15" t="s">
        <v>1</v>
      </c>
      <c r="C20" s="16" t="s">
        <v>122</v>
      </c>
      <c r="D20" s="16" t="s">
        <v>2</v>
      </c>
      <c r="E20" s="17" t="s">
        <v>3</v>
      </c>
      <c r="G20" s="15" t="s">
        <v>205</v>
      </c>
      <c r="H20" s="16" t="s">
        <v>23</v>
      </c>
      <c r="I20" s="16" t="s">
        <v>206</v>
      </c>
      <c r="J20" s="16" t="s">
        <v>207</v>
      </c>
      <c r="K20" s="16" t="s">
        <v>208</v>
      </c>
      <c r="L20" s="16" t="s">
        <v>209</v>
      </c>
      <c r="M20" s="17" t="s">
        <v>210</v>
      </c>
    </row>
    <row r="21" spans="1:13" x14ac:dyDescent="0.25">
      <c r="B21" s="18" t="s">
        <v>167</v>
      </c>
      <c r="C21" s="82" t="s">
        <v>168</v>
      </c>
      <c r="D21" s="82">
        <v>0.95</v>
      </c>
      <c r="E21" s="20" t="s">
        <v>19</v>
      </c>
      <c r="G21" s="18">
        <v>1</v>
      </c>
      <c r="H21" s="82">
        <v>16</v>
      </c>
      <c r="I21" s="82">
        <v>60</v>
      </c>
      <c r="J21" s="82">
        <v>110</v>
      </c>
      <c r="K21" s="82">
        <f t="shared" ref="K21:K32" si="0">I21+J21</f>
        <v>170</v>
      </c>
      <c r="L21" s="34">
        <f t="shared" ref="L21:L32" si="1">IF(K21&lt;$D$27,$D$8,0)</f>
        <v>0</v>
      </c>
      <c r="M21" s="20">
        <v>0</v>
      </c>
    </row>
    <row r="22" spans="1:13" x14ac:dyDescent="0.25">
      <c r="B22" s="22" t="s">
        <v>169</v>
      </c>
      <c r="C22" s="35" t="s">
        <v>170</v>
      </c>
      <c r="D22" s="40">
        <f>NORMSINV(D21)</f>
        <v>1.6448536269514715</v>
      </c>
      <c r="E22" s="23" t="s">
        <v>189</v>
      </c>
      <c r="G22" s="22">
        <v>2</v>
      </c>
      <c r="H22" s="35">
        <v>217</v>
      </c>
      <c r="I22" s="35">
        <f t="shared" ref="I22:I32" si="2">I21-H21+M22</f>
        <v>44</v>
      </c>
      <c r="J22" s="35">
        <v>1000</v>
      </c>
      <c r="K22" s="35">
        <f t="shared" si="0"/>
        <v>1044</v>
      </c>
      <c r="L22" s="34">
        <f t="shared" si="1"/>
        <v>0</v>
      </c>
      <c r="M22" s="23">
        <v>0</v>
      </c>
    </row>
    <row r="23" spans="1:13" x14ac:dyDescent="0.25">
      <c r="B23" s="22" t="s">
        <v>171</v>
      </c>
      <c r="C23" s="35" t="s">
        <v>172</v>
      </c>
      <c r="D23" s="35">
        <v>144</v>
      </c>
      <c r="E23" s="23" t="s">
        <v>8</v>
      </c>
      <c r="G23" s="22">
        <v>3</v>
      </c>
      <c r="H23" s="35">
        <v>334</v>
      </c>
      <c r="I23" s="35">
        <f t="shared" si="2"/>
        <v>-173</v>
      </c>
      <c r="J23" s="35">
        <v>1000</v>
      </c>
      <c r="K23" s="35">
        <f t="shared" si="0"/>
        <v>827</v>
      </c>
      <c r="L23" s="34">
        <f t="shared" si="1"/>
        <v>0</v>
      </c>
      <c r="M23" s="23">
        <v>0</v>
      </c>
    </row>
    <row r="24" spans="1:13" x14ac:dyDescent="0.25">
      <c r="B24" s="22" t="s">
        <v>174</v>
      </c>
      <c r="C24" s="35" t="s">
        <v>175</v>
      </c>
      <c r="D24" s="35">
        <v>6</v>
      </c>
      <c r="E24" s="23" t="s">
        <v>8</v>
      </c>
      <c r="G24" s="22">
        <v>4</v>
      </c>
      <c r="H24" s="35">
        <v>124</v>
      </c>
      <c r="I24" s="35">
        <f t="shared" si="2"/>
        <v>-507</v>
      </c>
      <c r="J24" s="35">
        <v>1000</v>
      </c>
      <c r="K24" s="35">
        <f t="shared" si="0"/>
        <v>493</v>
      </c>
      <c r="L24" s="34">
        <f t="shared" si="1"/>
        <v>0</v>
      </c>
      <c r="M24" s="23">
        <v>0</v>
      </c>
    </row>
    <row r="25" spans="1:13" x14ac:dyDescent="0.25">
      <c r="B25" s="22" t="s">
        <v>177</v>
      </c>
      <c r="C25" s="35" t="s">
        <v>178</v>
      </c>
      <c r="D25" s="167">
        <f>D22*D24</f>
        <v>9.8691217617088292</v>
      </c>
      <c r="E25" s="23" t="s">
        <v>8</v>
      </c>
      <c r="G25" s="22">
        <v>5</v>
      </c>
      <c r="H25" s="35">
        <v>0</v>
      </c>
      <c r="I25" s="37">
        <f t="shared" si="2"/>
        <v>-631</v>
      </c>
      <c r="J25" s="35">
        <v>0</v>
      </c>
      <c r="K25" s="37">
        <f t="shared" si="0"/>
        <v>-631</v>
      </c>
      <c r="L25" s="34">
        <f t="shared" si="1"/>
        <v>277.12812921102039</v>
      </c>
      <c r="M25" s="168">
        <f t="shared" ref="M25:M32" si="3">L21</f>
        <v>0</v>
      </c>
    </row>
    <row r="26" spans="1:13" x14ac:dyDescent="0.25">
      <c r="B26" s="169" t="s">
        <v>180</v>
      </c>
      <c r="C26" s="170" t="s">
        <v>181</v>
      </c>
      <c r="D26" s="171">
        <f>(D8/2)+D25</f>
        <v>148.43318636721904</v>
      </c>
      <c r="E26" s="172" t="s">
        <v>8</v>
      </c>
      <c r="G26" s="22">
        <v>6</v>
      </c>
      <c r="H26" s="35">
        <v>371</v>
      </c>
      <c r="I26" s="37">
        <f t="shared" si="2"/>
        <v>-631</v>
      </c>
      <c r="J26" s="35">
        <v>0</v>
      </c>
      <c r="K26" s="37">
        <f t="shared" si="0"/>
        <v>-631</v>
      </c>
      <c r="L26" s="34">
        <f t="shared" si="1"/>
        <v>277.12812921102039</v>
      </c>
      <c r="M26" s="168">
        <f t="shared" si="3"/>
        <v>0</v>
      </c>
    </row>
    <row r="27" spans="1:13" x14ac:dyDescent="0.25">
      <c r="B27" s="15" t="s">
        <v>183</v>
      </c>
      <c r="C27" s="16" t="s">
        <v>184</v>
      </c>
      <c r="D27" s="165">
        <f>D23+D25</f>
        <v>153.86912176170884</v>
      </c>
      <c r="E27" s="166" t="s">
        <v>8</v>
      </c>
      <c r="G27" s="22">
        <v>7</v>
      </c>
      <c r="H27" s="35">
        <v>135</v>
      </c>
      <c r="I27" s="37">
        <f t="shared" si="2"/>
        <v>-1002</v>
      </c>
      <c r="J27" s="35">
        <v>0</v>
      </c>
      <c r="K27" s="37">
        <f t="shared" si="0"/>
        <v>-1002</v>
      </c>
      <c r="L27" s="34">
        <f t="shared" si="1"/>
        <v>277.12812921102039</v>
      </c>
      <c r="M27" s="168">
        <f t="shared" si="3"/>
        <v>0</v>
      </c>
    </row>
    <row r="28" spans="1:13" x14ac:dyDescent="0.25">
      <c r="G28" s="22">
        <v>8</v>
      </c>
      <c r="H28" s="35">
        <v>208</v>
      </c>
      <c r="I28" s="37">
        <f t="shared" si="2"/>
        <v>-1137</v>
      </c>
      <c r="J28" s="35">
        <v>1000</v>
      </c>
      <c r="K28" s="37">
        <f t="shared" si="0"/>
        <v>-137</v>
      </c>
      <c r="L28" s="34">
        <f t="shared" si="1"/>
        <v>277.12812921102039</v>
      </c>
      <c r="M28" s="168">
        <f t="shared" si="3"/>
        <v>0</v>
      </c>
    </row>
    <row r="29" spans="1:13" x14ac:dyDescent="0.25">
      <c r="G29" s="22">
        <v>9</v>
      </c>
      <c r="H29" s="35">
        <v>315</v>
      </c>
      <c r="I29" s="37">
        <f t="shared" si="2"/>
        <v>-1067.8718707889795</v>
      </c>
      <c r="J29" s="35">
        <v>1000</v>
      </c>
      <c r="K29" s="37">
        <f t="shared" si="0"/>
        <v>-67.87187078897955</v>
      </c>
      <c r="L29" s="34">
        <f t="shared" si="1"/>
        <v>277.12812921102039</v>
      </c>
      <c r="M29" s="168">
        <f t="shared" si="3"/>
        <v>277.12812921102039</v>
      </c>
    </row>
    <row r="30" spans="1:13" x14ac:dyDescent="0.25">
      <c r="G30" s="22">
        <v>10</v>
      </c>
      <c r="H30" s="35">
        <v>0</v>
      </c>
      <c r="I30" s="37">
        <f t="shared" si="2"/>
        <v>-1105.7437415779591</v>
      </c>
      <c r="J30" s="35">
        <v>1000</v>
      </c>
      <c r="K30" s="37">
        <f t="shared" si="0"/>
        <v>-105.7437415779591</v>
      </c>
      <c r="L30" s="34">
        <f t="shared" si="1"/>
        <v>277.12812921102039</v>
      </c>
      <c r="M30" s="168">
        <f t="shared" si="3"/>
        <v>277.12812921102039</v>
      </c>
    </row>
    <row r="31" spans="1:13" x14ac:dyDescent="0.25">
      <c r="G31" s="22">
        <v>11</v>
      </c>
      <c r="H31" s="35">
        <v>440</v>
      </c>
      <c r="I31" s="37">
        <f t="shared" si="2"/>
        <v>-828.61561236693865</v>
      </c>
      <c r="J31" s="35">
        <v>1000</v>
      </c>
      <c r="K31" s="37">
        <f t="shared" si="0"/>
        <v>171.38438763306135</v>
      </c>
      <c r="L31" s="34">
        <f t="shared" si="1"/>
        <v>0</v>
      </c>
      <c r="M31" s="168">
        <f t="shared" si="3"/>
        <v>277.12812921102039</v>
      </c>
    </row>
    <row r="32" spans="1:13" x14ac:dyDescent="0.25">
      <c r="G32" s="105">
        <v>12</v>
      </c>
      <c r="H32" s="89">
        <v>127</v>
      </c>
      <c r="I32" s="173">
        <f t="shared" si="2"/>
        <v>-991.4874831559182</v>
      </c>
      <c r="J32" s="89">
        <v>1000</v>
      </c>
      <c r="K32" s="173">
        <f t="shared" si="0"/>
        <v>8.5125168440818015</v>
      </c>
      <c r="L32" s="174">
        <f t="shared" si="1"/>
        <v>277.12812921102039</v>
      </c>
      <c r="M32" s="175">
        <f t="shared" si="3"/>
        <v>277.12812921102039</v>
      </c>
    </row>
    <row r="34" spans="1:5" ht="15.75" x14ac:dyDescent="0.25">
      <c r="A34" s="33" t="s">
        <v>186</v>
      </c>
    </row>
    <row r="36" spans="1:5" x14ac:dyDescent="0.25">
      <c r="B36" s="15" t="s">
        <v>1</v>
      </c>
      <c r="C36" s="16" t="s">
        <v>122</v>
      </c>
      <c r="D36" s="16" t="s">
        <v>2</v>
      </c>
      <c r="E36" s="17" t="s">
        <v>3</v>
      </c>
    </row>
    <row r="37" spans="1:5" x14ac:dyDescent="0.25">
      <c r="B37" s="18" t="s">
        <v>187</v>
      </c>
      <c r="C37" s="82" t="s">
        <v>150</v>
      </c>
      <c r="D37" s="176">
        <f>D8/D4</f>
        <v>1.9245008972987528E-2</v>
      </c>
      <c r="E37" s="20" t="s">
        <v>188</v>
      </c>
    </row>
    <row r="38" spans="1:5" x14ac:dyDescent="0.25">
      <c r="B38" s="22" t="s">
        <v>167</v>
      </c>
      <c r="C38" s="35" t="s">
        <v>168</v>
      </c>
      <c r="D38" s="35">
        <v>0.95</v>
      </c>
      <c r="E38" s="23" t="s">
        <v>19</v>
      </c>
    </row>
    <row r="39" spans="1:5" x14ac:dyDescent="0.25">
      <c r="B39" s="22" t="s">
        <v>169</v>
      </c>
      <c r="C39" s="35" t="s">
        <v>170</v>
      </c>
      <c r="D39" s="40">
        <f>NORMSINV(D38)</f>
        <v>1.6448536269514715</v>
      </c>
      <c r="E39" s="23" t="s">
        <v>189</v>
      </c>
    </row>
    <row r="40" spans="1:5" x14ac:dyDescent="0.25">
      <c r="B40" s="22" t="s">
        <v>190</v>
      </c>
      <c r="C40" s="35" t="s">
        <v>211</v>
      </c>
      <c r="D40" s="35">
        <v>150</v>
      </c>
      <c r="E40" s="23" t="s">
        <v>8</v>
      </c>
    </row>
    <row r="41" spans="1:5" x14ac:dyDescent="0.25">
      <c r="B41" s="22" t="s">
        <v>193</v>
      </c>
      <c r="C41" s="35" t="s">
        <v>212</v>
      </c>
      <c r="D41" s="35">
        <v>8.5</v>
      </c>
      <c r="E41" s="23" t="s">
        <v>8</v>
      </c>
    </row>
    <row r="42" spans="1:5" x14ac:dyDescent="0.25">
      <c r="B42" s="22" t="s">
        <v>196</v>
      </c>
      <c r="C42" s="35" t="s">
        <v>213</v>
      </c>
      <c r="D42" s="37">
        <f>D39*D41</f>
        <v>13.981255829087509</v>
      </c>
      <c r="E42" s="23" t="s">
        <v>8</v>
      </c>
    </row>
    <row r="43" spans="1:5" x14ac:dyDescent="0.25">
      <c r="B43" s="169" t="s">
        <v>180</v>
      </c>
      <c r="C43" s="170" t="s">
        <v>181</v>
      </c>
      <c r="D43" s="171">
        <f>(D8/2)+D42</f>
        <v>152.5453204345977</v>
      </c>
      <c r="E43" s="172" t="s">
        <v>8</v>
      </c>
    </row>
    <row r="44" spans="1:5" x14ac:dyDescent="0.25">
      <c r="B44" s="15" t="s">
        <v>200</v>
      </c>
      <c r="C44" s="16" t="s">
        <v>201</v>
      </c>
      <c r="D44" s="165">
        <f>D40+D42</f>
        <v>163.9812558290875</v>
      </c>
      <c r="E44" s="166" t="s">
        <v>8</v>
      </c>
    </row>
  </sheetData>
  <pageMargins left="0.7" right="0.7" top="0.75" bottom="0.75" header="0.511811023622047" footer="0.511811023622047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Q41"/>
  <sheetViews>
    <sheetView showGridLines="0" tabSelected="1" zoomScale="75" zoomScaleNormal="75" workbookViewId="0">
      <selection activeCell="AS26" sqref="AS26"/>
    </sheetView>
  </sheetViews>
  <sheetFormatPr baseColWidth="10" defaultColWidth="10.7109375" defaultRowHeight="15" x14ac:dyDescent="0.25"/>
  <cols>
    <col min="1" max="1" width="5.140625" style="43" customWidth="1"/>
    <col min="2" max="2" width="10.7109375" style="43"/>
    <col min="3" max="38" width="3.85546875" style="43" customWidth="1"/>
    <col min="39" max="39" width="11.140625" style="44" customWidth="1"/>
    <col min="40" max="40" width="2.5703125" style="43" customWidth="1"/>
    <col min="41" max="43" width="10.140625" style="43" customWidth="1"/>
    <col min="44" max="44" width="2.5703125" style="43" customWidth="1"/>
    <col min="45" max="16370" width="10.7109375" style="43"/>
    <col min="16371" max="16384" width="11.5703125" style="43" customWidth="1"/>
  </cols>
  <sheetData>
    <row r="1" spans="1:43" ht="15" customHeight="1" x14ac:dyDescent="0.25">
      <c r="A1" s="13" t="s">
        <v>36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</row>
    <row r="3" spans="1:43" ht="13.5" customHeight="1" x14ac:dyDescent="0.25">
      <c r="B3" s="45" t="s">
        <v>37</v>
      </c>
      <c r="C3" s="46">
        <v>1</v>
      </c>
      <c r="D3" s="46">
        <v>2</v>
      </c>
      <c r="E3" s="46">
        <v>3</v>
      </c>
      <c r="F3" s="46">
        <v>4</v>
      </c>
      <c r="G3" s="46">
        <v>5</v>
      </c>
      <c r="H3" s="46">
        <v>6</v>
      </c>
      <c r="I3" s="46">
        <v>7</v>
      </c>
      <c r="J3" s="46">
        <v>8</v>
      </c>
      <c r="K3" s="46">
        <v>9</v>
      </c>
      <c r="L3" s="46">
        <v>10</v>
      </c>
      <c r="M3" s="46">
        <v>11</v>
      </c>
      <c r="N3" s="46">
        <v>12</v>
      </c>
      <c r="O3" s="46">
        <v>13</v>
      </c>
      <c r="P3" s="46">
        <v>14</v>
      </c>
      <c r="Q3" s="46">
        <v>15</v>
      </c>
      <c r="R3" s="46">
        <v>16</v>
      </c>
      <c r="S3" s="46">
        <v>17</v>
      </c>
      <c r="T3" s="46">
        <v>18</v>
      </c>
      <c r="U3" s="46">
        <v>19</v>
      </c>
      <c r="V3" s="46">
        <v>20</v>
      </c>
      <c r="W3" s="46">
        <v>21</v>
      </c>
      <c r="X3" s="46">
        <v>22</v>
      </c>
      <c r="Y3" s="46">
        <v>23</v>
      </c>
      <c r="Z3" s="46">
        <v>24</v>
      </c>
      <c r="AA3" s="46">
        <v>25</v>
      </c>
      <c r="AB3" s="46">
        <v>26</v>
      </c>
      <c r="AC3" s="46">
        <v>27</v>
      </c>
      <c r="AD3" s="46">
        <v>28</v>
      </c>
      <c r="AE3" s="46">
        <v>29</v>
      </c>
      <c r="AF3" s="46">
        <v>30</v>
      </c>
      <c r="AG3" s="46">
        <v>31</v>
      </c>
      <c r="AH3" s="46">
        <v>32</v>
      </c>
      <c r="AI3" s="46">
        <v>33</v>
      </c>
      <c r="AJ3" s="46">
        <v>34</v>
      </c>
      <c r="AK3" s="46">
        <v>35</v>
      </c>
      <c r="AL3" s="46">
        <v>36</v>
      </c>
      <c r="AM3" s="47" t="s">
        <v>18</v>
      </c>
      <c r="AO3" s="12" t="s">
        <v>38</v>
      </c>
      <c r="AP3" s="48" t="s">
        <v>39</v>
      </c>
      <c r="AQ3" s="48" t="s">
        <v>39</v>
      </c>
    </row>
    <row r="4" spans="1:43" x14ac:dyDescent="0.25">
      <c r="B4" s="45" t="s">
        <v>40</v>
      </c>
      <c r="C4" s="49" t="s">
        <v>41</v>
      </c>
      <c r="D4" s="49" t="s">
        <v>41</v>
      </c>
      <c r="E4" s="50" t="s">
        <v>42</v>
      </c>
      <c r="F4" s="50" t="s">
        <v>42</v>
      </c>
      <c r="G4" s="50" t="s">
        <v>42</v>
      </c>
      <c r="H4" s="50" t="s">
        <v>42</v>
      </c>
      <c r="I4" s="50" t="s">
        <v>42</v>
      </c>
      <c r="J4" s="50" t="s">
        <v>42</v>
      </c>
      <c r="K4" s="51" t="s">
        <v>43</v>
      </c>
      <c r="L4" s="51" t="s">
        <v>43</v>
      </c>
      <c r="M4" s="51" t="s">
        <v>43</v>
      </c>
      <c r="N4" s="51" t="s">
        <v>43</v>
      </c>
      <c r="O4" s="51" t="s">
        <v>43</v>
      </c>
      <c r="P4" s="51" t="s">
        <v>43</v>
      </c>
      <c r="Q4" s="51" t="s">
        <v>43</v>
      </c>
      <c r="R4" s="52" t="s">
        <v>44</v>
      </c>
      <c r="S4" s="52" t="s">
        <v>44</v>
      </c>
      <c r="T4" s="52" t="s">
        <v>44</v>
      </c>
      <c r="U4" s="52" t="s">
        <v>44</v>
      </c>
      <c r="V4" s="52" t="s">
        <v>44</v>
      </c>
      <c r="W4" s="52" t="s">
        <v>44</v>
      </c>
      <c r="X4" s="52" t="s">
        <v>44</v>
      </c>
      <c r="Y4" s="53" t="s">
        <v>45</v>
      </c>
      <c r="Z4" s="53" t="s">
        <v>45</v>
      </c>
      <c r="AA4" s="53" t="s">
        <v>45</v>
      </c>
      <c r="AB4" s="53" t="s">
        <v>45</v>
      </c>
      <c r="AC4" s="54"/>
      <c r="AD4" s="55"/>
      <c r="AE4" s="55"/>
      <c r="AF4" s="55"/>
      <c r="AG4" s="55"/>
      <c r="AH4" s="55"/>
      <c r="AI4" s="55"/>
      <c r="AJ4" s="55"/>
      <c r="AK4" s="55"/>
      <c r="AL4" s="55"/>
      <c r="AM4" s="44">
        <f t="shared" ref="AM4:AM9" si="0">36-COUNTBLANK($C4:$AL4)</f>
        <v>26</v>
      </c>
      <c r="AO4" s="12"/>
      <c r="AP4" s="56" t="s">
        <v>46</v>
      </c>
      <c r="AQ4" s="56" t="s">
        <v>47</v>
      </c>
    </row>
    <row r="5" spans="1:43" x14ac:dyDescent="0.25">
      <c r="B5" s="45" t="s">
        <v>48</v>
      </c>
      <c r="C5" s="55"/>
      <c r="D5" s="55"/>
      <c r="E5" s="49" t="s">
        <v>41</v>
      </c>
      <c r="F5" s="49" t="s">
        <v>41</v>
      </c>
      <c r="G5" s="49" t="s">
        <v>41</v>
      </c>
      <c r="H5" s="49" t="s">
        <v>41</v>
      </c>
      <c r="I5" s="49" t="s">
        <v>41</v>
      </c>
      <c r="J5" s="57"/>
      <c r="K5" s="50" t="s">
        <v>42</v>
      </c>
      <c r="L5" s="50" t="s">
        <v>42</v>
      </c>
      <c r="M5" s="50" t="s">
        <v>42</v>
      </c>
      <c r="N5" s="50" t="s">
        <v>42</v>
      </c>
      <c r="O5" s="50" t="s">
        <v>42</v>
      </c>
      <c r="P5" s="50" t="s">
        <v>42</v>
      </c>
      <c r="Q5" s="50" t="s">
        <v>42</v>
      </c>
      <c r="R5" s="50" t="s">
        <v>42</v>
      </c>
      <c r="S5" s="51" t="s">
        <v>43</v>
      </c>
      <c r="T5" s="51" t="s">
        <v>43</v>
      </c>
      <c r="U5" s="51" t="s">
        <v>43</v>
      </c>
      <c r="V5" s="51" t="s">
        <v>43</v>
      </c>
      <c r="W5" s="51" t="s">
        <v>43</v>
      </c>
      <c r="X5" s="51" t="s">
        <v>43</v>
      </c>
      <c r="Y5" s="52" t="s">
        <v>44</v>
      </c>
      <c r="Z5" s="52" t="s">
        <v>44</v>
      </c>
      <c r="AA5" s="52" t="s">
        <v>44</v>
      </c>
      <c r="AB5" s="55"/>
      <c r="AC5" s="53" t="s">
        <v>45</v>
      </c>
      <c r="AD5" s="54"/>
      <c r="AE5" s="55"/>
      <c r="AF5" s="54"/>
      <c r="AG5" s="54"/>
      <c r="AH5" s="54"/>
      <c r="AI5" s="54"/>
      <c r="AJ5" s="54"/>
      <c r="AK5" s="54"/>
      <c r="AL5" s="55"/>
      <c r="AM5" s="44">
        <f t="shared" si="0"/>
        <v>23</v>
      </c>
      <c r="AO5" s="58" t="s">
        <v>45</v>
      </c>
      <c r="AP5" s="59">
        <f>MATCH($AO5,C$4:AL$4,0)-1</f>
        <v>22</v>
      </c>
      <c r="AQ5" s="59">
        <f>MATCH($AO5,C$5:AL$5,0)-1+VLOOKUP($AO5,B20:H25,3,0)</f>
        <v>27</v>
      </c>
    </row>
    <row r="6" spans="1:43" x14ac:dyDescent="0.25">
      <c r="B6" s="45" t="s">
        <v>49</v>
      </c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  <c r="U6" s="57"/>
      <c r="V6" s="57"/>
      <c r="W6" s="57"/>
      <c r="X6" s="57"/>
      <c r="Y6" s="57"/>
      <c r="Z6" s="57"/>
      <c r="AA6" s="57"/>
      <c r="AB6" s="57"/>
      <c r="AC6" s="57"/>
      <c r="AD6" s="57"/>
      <c r="AE6" s="57"/>
      <c r="AF6" s="57"/>
      <c r="AG6" s="57"/>
      <c r="AH6" s="57"/>
      <c r="AI6" s="57"/>
      <c r="AJ6" s="57"/>
      <c r="AK6" s="57"/>
      <c r="AL6" s="57"/>
      <c r="AM6" s="44">
        <f t="shared" si="0"/>
        <v>0</v>
      </c>
      <c r="AO6" s="60" t="s">
        <v>41</v>
      </c>
      <c r="AP6" s="59">
        <f>MATCH($AO6,C$4:AL$4,0)-1</f>
        <v>0</v>
      </c>
      <c r="AQ6" s="59">
        <f>MATCH($AO6,C$5:AL$5,0)-1+VLOOKUP($AO6,B21:H26,3,0)</f>
        <v>7</v>
      </c>
    </row>
    <row r="7" spans="1:43" x14ac:dyDescent="0.25">
      <c r="B7" s="45" t="s">
        <v>50</v>
      </c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  <c r="Z7" s="57"/>
      <c r="AA7" s="57"/>
      <c r="AB7" s="57"/>
      <c r="AC7" s="57"/>
      <c r="AD7" s="57"/>
      <c r="AE7" s="57"/>
      <c r="AF7" s="57"/>
      <c r="AG7" s="57"/>
      <c r="AH7" s="57"/>
      <c r="AI7" s="57"/>
      <c r="AJ7" s="57"/>
      <c r="AK7" s="57"/>
      <c r="AL7" s="57"/>
      <c r="AM7" s="44">
        <f t="shared" si="0"/>
        <v>0</v>
      </c>
      <c r="AO7" s="61" t="s">
        <v>44</v>
      </c>
      <c r="AP7" s="59">
        <f>MATCH($AO7,C$4:AL$4,0)-1</f>
        <v>15</v>
      </c>
      <c r="AQ7" s="59">
        <f>MATCH($AO7,C$5:AL$5,0)-1+VLOOKUP($AO7,B22:H26,3,0)</f>
        <v>25</v>
      </c>
    </row>
    <row r="8" spans="1:43" x14ac:dyDescent="0.25">
      <c r="B8" s="45" t="s">
        <v>51</v>
      </c>
      <c r="C8" s="57"/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7"/>
      <c r="AB8" s="57"/>
      <c r="AC8" s="57"/>
      <c r="AD8" s="57"/>
      <c r="AE8" s="57"/>
      <c r="AF8" s="57"/>
      <c r="AG8" s="57"/>
      <c r="AH8" s="57"/>
      <c r="AI8" s="57"/>
      <c r="AJ8" s="57"/>
      <c r="AK8" s="57"/>
      <c r="AL8" s="57"/>
      <c r="AM8" s="44">
        <f t="shared" si="0"/>
        <v>0</v>
      </c>
      <c r="AO8" s="62" t="s">
        <v>43</v>
      </c>
      <c r="AP8" s="59">
        <f>MATCH($AO8,C$4:AL$4,0)-1</f>
        <v>8</v>
      </c>
      <c r="AQ8" s="59">
        <f>MATCH($AO8,C$5:AL$5,0)-1+VLOOKUP($AO8,B23:H26,3,0)</f>
        <v>22</v>
      </c>
    </row>
    <row r="9" spans="1:43" x14ac:dyDescent="0.25">
      <c r="B9" s="45" t="s">
        <v>52</v>
      </c>
      <c r="C9" s="57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  <c r="W9" s="57"/>
      <c r="X9" s="57"/>
      <c r="Y9" s="57"/>
      <c r="Z9" s="57"/>
      <c r="AA9" s="57"/>
      <c r="AB9" s="57"/>
      <c r="AC9" s="57"/>
      <c r="AD9" s="57"/>
      <c r="AE9" s="57"/>
      <c r="AF9" s="57"/>
      <c r="AG9" s="57"/>
      <c r="AH9" s="57"/>
      <c r="AI9" s="57"/>
      <c r="AJ9" s="57"/>
      <c r="AK9" s="57"/>
      <c r="AL9" s="57"/>
      <c r="AM9" s="44">
        <f t="shared" si="0"/>
        <v>0</v>
      </c>
      <c r="AO9" s="63" t="s">
        <v>42</v>
      </c>
      <c r="AP9" s="59">
        <f>MATCH($AO9,C$4:AL$4,0)-1</f>
        <v>2</v>
      </c>
      <c r="AQ9" s="59">
        <f>MATCH($AO9,C$5:AL$5,0)-1+VLOOKUP($AO9,B24:H26,3,0)</f>
        <v>16</v>
      </c>
    </row>
    <row r="10" spans="1:43" x14ac:dyDescent="0.25">
      <c r="B10" s="47" t="s">
        <v>18</v>
      </c>
      <c r="C10" s="44">
        <f t="shared" ref="C10:AL10" si="1">IF(COUNTA(C4:C9)&gt;0,1,0)</f>
        <v>1</v>
      </c>
      <c r="D10" s="44">
        <f t="shared" si="1"/>
        <v>1</v>
      </c>
      <c r="E10" s="44">
        <f t="shared" si="1"/>
        <v>1</v>
      </c>
      <c r="F10" s="44">
        <f t="shared" si="1"/>
        <v>1</v>
      </c>
      <c r="G10" s="44">
        <f t="shared" si="1"/>
        <v>1</v>
      </c>
      <c r="H10" s="44">
        <f t="shared" si="1"/>
        <v>1</v>
      </c>
      <c r="I10" s="44">
        <f t="shared" si="1"/>
        <v>1</v>
      </c>
      <c r="J10" s="44">
        <f t="shared" si="1"/>
        <v>1</v>
      </c>
      <c r="K10" s="44">
        <f t="shared" si="1"/>
        <v>1</v>
      </c>
      <c r="L10" s="44">
        <f t="shared" si="1"/>
        <v>1</v>
      </c>
      <c r="M10" s="44">
        <f t="shared" si="1"/>
        <v>1</v>
      </c>
      <c r="N10" s="44">
        <f t="shared" si="1"/>
        <v>1</v>
      </c>
      <c r="O10" s="44">
        <f t="shared" si="1"/>
        <v>1</v>
      </c>
      <c r="P10" s="44">
        <f t="shared" si="1"/>
        <v>1</v>
      </c>
      <c r="Q10" s="44">
        <f t="shared" si="1"/>
        <v>1</v>
      </c>
      <c r="R10" s="44">
        <f t="shared" si="1"/>
        <v>1</v>
      </c>
      <c r="S10" s="44">
        <f t="shared" si="1"/>
        <v>1</v>
      </c>
      <c r="T10" s="44">
        <f t="shared" si="1"/>
        <v>1</v>
      </c>
      <c r="U10" s="44">
        <f t="shared" si="1"/>
        <v>1</v>
      </c>
      <c r="V10" s="44">
        <f t="shared" si="1"/>
        <v>1</v>
      </c>
      <c r="W10" s="44">
        <f t="shared" si="1"/>
        <v>1</v>
      </c>
      <c r="X10" s="44">
        <f t="shared" si="1"/>
        <v>1</v>
      </c>
      <c r="Y10" s="44">
        <f t="shared" si="1"/>
        <v>1</v>
      </c>
      <c r="Z10" s="44">
        <f t="shared" si="1"/>
        <v>1</v>
      </c>
      <c r="AA10" s="44">
        <f t="shared" si="1"/>
        <v>1</v>
      </c>
      <c r="AB10" s="44">
        <f t="shared" si="1"/>
        <v>1</v>
      </c>
      <c r="AC10" s="44">
        <f t="shared" si="1"/>
        <v>1</v>
      </c>
      <c r="AD10" s="44">
        <f t="shared" si="1"/>
        <v>0</v>
      </c>
      <c r="AE10" s="44">
        <f t="shared" si="1"/>
        <v>0</v>
      </c>
      <c r="AF10" s="44">
        <f t="shared" si="1"/>
        <v>0</v>
      </c>
      <c r="AG10" s="44">
        <f t="shared" si="1"/>
        <v>0</v>
      </c>
      <c r="AH10" s="44">
        <f t="shared" si="1"/>
        <v>0</v>
      </c>
      <c r="AI10" s="44">
        <f t="shared" si="1"/>
        <v>0</v>
      </c>
      <c r="AJ10" s="44">
        <f t="shared" si="1"/>
        <v>0</v>
      </c>
      <c r="AK10" s="44">
        <f t="shared" si="1"/>
        <v>0</v>
      </c>
      <c r="AL10" s="44">
        <f t="shared" si="1"/>
        <v>0</v>
      </c>
      <c r="AM10" s="44">
        <f>SUM(C10:AL10)</f>
        <v>27</v>
      </c>
      <c r="AO10" s="45" t="s">
        <v>53</v>
      </c>
      <c r="AP10" s="45">
        <f>SUM(AP5:AP9)</f>
        <v>47</v>
      </c>
      <c r="AQ10" s="45">
        <f>SUM(AQ5:AQ9)</f>
        <v>97</v>
      </c>
    </row>
    <row r="11" spans="1:43" ht="15.75" customHeight="1" x14ac:dyDescent="0.25">
      <c r="B11" s="47"/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  <c r="AA11" s="44"/>
      <c r="AB11" s="44"/>
      <c r="AC11" s="44"/>
      <c r="AD11" s="44"/>
      <c r="AE11" s="44"/>
      <c r="AF11" s="44"/>
      <c r="AG11" s="44"/>
      <c r="AH11" s="44"/>
      <c r="AI11" s="44"/>
      <c r="AJ11" s="44"/>
      <c r="AK11" s="44"/>
      <c r="AL11" s="44"/>
    </row>
    <row r="12" spans="1:43" ht="30" x14ac:dyDescent="0.25">
      <c r="B12" s="64" t="s">
        <v>54</v>
      </c>
      <c r="AO12" s="45" t="s">
        <v>37</v>
      </c>
      <c r="AP12" s="45" t="s">
        <v>55</v>
      </c>
    </row>
    <row r="13" spans="1:43" ht="15" customHeight="1" x14ac:dyDescent="0.25">
      <c r="B13" s="65" t="s">
        <v>45</v>
      </c>
      <c r="C13" s="66">
        <f t="shared" ref="C13:L18" si="2">COUNTIF(C$4:C$9,$B13)</f>
        <v>0</v>
      </c>
      <c r="D13" s="66">
        <f t="shared" si="2"/>
        <v>0</v>
      </c>
      <c r="E13" s="66">
        <f t="shared" si="2"/>
        <v>0</v>
      </c>
      <c r="F13" s="66">
        <f t="shared" si="2"/>
        <v>0</v>
      </c>
      <c r="G13" s="66">
        <f t="shared" si="2"/>
        <v>0</v>
      </c>
      <c r="H13" s="66">
        <f t="shared" si="2"/>
        <v>0</v>
      </c>
      <c r="I13" s="66">
        <f t="shared" si="2"/>
        <v>0</v>
      </c>
      <c r="J13" s="66">
        <f t="shared" si="2"/>
        <v>0</v>
      </c>
      <c r="K13" s="66">
        <f t="shared" si="2"/>
        <v>0</v>
      </c>
      <c r="L13" s="66">
        <f t="shared" si="2"/>
        <v>0</v>
      </c>
      <c r="M13" s="66">
        <f t="shared" ref="M13:V18" si="3">COUNTIF(M$4:M$9,$B13)</f>
        <v>0</v>
      </c>
      <c r="N13" s="66">
        <f t="shared" si="3"/>
        <v>0</v>
      </c>
      <c r="O13" s="66">
        <f t="shared" si="3"/>
        <v>0</v>
      </c>
      <c r="P13" s="66">
        <f t="shared" si="3"/>
        <v>0</v>
      </c>
      <c r="Q13" s="66">
        <f t="shared" si="3"/>
        <v>0</v>
      </c>
      <c r="R13" s="66">
        <f t="shared" si="3"/>
        <v>0</v>
      </c>
      <c r="S13" s="66">
        <f t="shared" si="3"/>
        <v>0</v>
      </c>
      <c r="T13" s="66">
        <f t="shared" si="3"/>
        <v>0</v>
      </c>
      <c r="U13" s="66">
        <f t="shared" si="3"/>
        <v>0</v>
      </c>
      <c r="V13" s="66">
        <f t="shared" si="3"/>
        <v>0</v>
      </c>
      <c r="W13" s="66">
        <f t="shared" ref="W13:AF18" si="4">COUNTIF(W$4:W$9,$B13)</f>
        <v>0</v>
      </c>
      <c r="X13" s="66">
        <f t="shared" si="4"/>
        <v>0</v>
      </c>
      <c r="Y13" s="66">
        <f t="shared" si="4"/>
        <v>1</v>
      </c>
      <c r="Z13" s="66">
        <f t="shared" si="4"/>
        <v>1</v>
      </c>
      <c r="AA13" s="66">
        <f t="shared" si="4"/>
        <v>1</v>
      </c>
      <c r="AB13" s="66">
        <f t="shared" si="4"/>
        <v>1</v>
      </c>
      <c r="AC13" s="66">
        <f t="shared" si="4"/>
        <v>1</v>
      </c>
      <c r="AD13" s="66">
        <f t="shared" si="4"/>
        <v>0</v>
      </c>
      <c r="AE13" s="66">
        <f t="shared" si="4"/>
        <v>0</v>
      </c>
      <c r="AF13" s="66">
        <f t="shared" si="4"/>
        <v>0</v>
      </c>
      <c r="AG13" s="66">
        <f t="shared" ref="AG13:AL18" si="5">COUNTIF(AG$4:AG$9,$B13)</f>
        <v>0</v>
      </c>
      <c r="AH13" s="66">
        <f t="shared" si="5"/>
        <v>0</v>
      </c>
      <c r="AI13" s="66">
        <f t="shared" si="5"/>
        <v>0</v>
      </c>
      <c r="AJ13" s="66">
        <f t="shared" si="5"/>
        <v>0</v>
      </c>
      <c r="AK13" s="66">
        <f t="shared" si="5"/>
        <v>0</v>
      </c>
      <c r="AL13" s="66">
        <f t="shared" si="5"/>
        <v>0</v>
      </c>
      <c r="AO13" s="45" t="str">
        <f>IF(AM4&gt;0,B4,"N/A")</f>
        <v>CT1</v>
      </c>
      <c r="AP13" s="67">
        <f t="shared" ref="AP13:AP18" si="6">IF(AO13&lt;&gt;"N/A",$AM$10-AM4,0)</f>
        <v>1</v>
      </c>
    </row>
    <row r="14" spans="1:43" ht="15" customHeight="1" x14ac:dyDescent="0.25">
      <c r="B14" s="65" t="s">
        <v>41</v>
      </c>
      <c r="C14" s="66">
        <f t="shared" si="2"/>
        <v>1</v>
      </c>
      <c r="D14" s="66">
        <f t="shared" si="2"/>
        <v>1</v>
      </c>
      <c r="E14" s="66">
        <f t="shared" si="2"/>
        <v>1</v>
      </c>
      <c r="F14" s="66">
        <f t="shared" si="2"/>
        <v>1</v>
      </c>
      <c r="G14" s="66">
        <f t="shared" si="2"/>
        <v>1</v>
      </c>
      <c r="H14" s="66">
        <f t="shared" si="2"/>
        <v>1</v>
      </c>
      <c r="I14" s="66">
        <f t="shared" si="2"/>
        <v>1</v>
      </c>
      <c r="J14" s="66">
        <f t="shared" si="2"/>
        <v>0</v>
      </c>
      <c r="K14" s="66">
        <f t="shared" si="2"/>
        <v>0</v>
      </c>
      <c r="L14" s="66">
        <f t="shared" si="2"/>
        <v>0</v>
      </c>
      <c r="M14" s="66">
        <f t="shared" si="3"/>
        <v>0</v>
      </c>
      <c r="N14" s="66">
        <f t="shared" si="3"/>
        <v>0</v>
      </c>
      <c r="O14" s="66">
        <f t="shared" si="3"/>
        <v>0</v>
      </c>
      <c r="P14" s="66">
        <f t="shared" si="3"/>
        <v>0</v>
      </c>
      <c r="Q14" s="66">
        <f t="shared" si="3"/>
        <v>0</v>
      </c>
      <c r="R14" s="66">
        <f t="shared" si="3"/>
        <v>0</v>
      </c>
      <c r="S14" s="66">
        <f t="shared" si="3"/>
        <v>0</v>
      </c>
      <c r="T14" s="66">
        <f t="shared" si="3"/>
        <v>0</v>
      </c>
      <c r="U14" s="66">
        <f t="shared" si="3"/>
        <v>0</v>
      </c>
      <c r="V14" s="66">
        <f t="shared" si="3"/>
        <v>0</v>
      </c>
      <c r="W14" s="66">
        <f t="shared" si="4"/>
        <v>0</v>
      </c>
      <c r="X14" s="66">
        <f t="shared" si="4"/>
        <v>0</v>
      </c>
      <c r="Y14" s="66">
        <f t="shared" si="4"/>
        <v>0</v>
      </c>
      <c r="Z14" s="66">
        <f t="shared" si="4"/>
        <v>0</v>
      </c>
      <c r="AA14" s="66">
        <f t="shared" si="4"/>
        <v>0</v>
      </c>
      <c r="AB14" s="66">
        <f t="shared" si="4"/>
        <v>0</v>
      </c>
      <c r="AC14" s="66">
        <f t="shared" si="4"/>
        <v>0</v>
      </c>
      <c r="AD14" s="66">
        <f t="shared" si="4"/>
        <v>0</v>
      </c>
      <c r="AE14" s="66">
        <f t="shared" si="4"/>
        <v>0</v>
      </c>
      <c r="AF14" s="66">
        <f t="shared" si="4"/>
        <v>0</v>
      </c>
      <c r="AG14" s="66">
        <f t="shared" si="5"/>
        <v>0</v>
      </c>
      <c r="AH14" s="66">
        <f t="shared" si="5"/>
        <v>0</v>
      </c>
      <c r="AI14" s="66">
        <f t="shared" si="5"/>
        <v>0</v>
      </c>
      <c r="AJ14" s="66">
        <f t="shared" si="5"/>
        <v>0</v>
      </c>
      <c r="AK14" s="66">
        <f t="shared" si="5"/>
        <v>0</v>
      </c>
      <c r="AL14" s="66">
        <f t="shared" si="5"/>
        <v>0</v>
      </c>
      <c r="AO14" s="45" t="s">
        <v>48</v>
      </c>
      <c r="AP14" s="67">
        <f t="shared" si="6"/>
        <v>4</v>
      </c>
    </row>
    <row r="15" spans="1:43" ht="15" customHeight="1" x14ac:dyDescent="0.25">
      <c r="B15" s="65" t="s">
        <v>44</v>
      </c>
      <c r="C15" s="66">
        <f t="shared" si="2"/>
        <v>0</v>
      </c>
      <c r="D15" s="66">
        <f t="shared" si="2"/>
        <v>0</v>
      </c>
      <c r="E15" s="66">
        <f t="shared" si="2"/>
        <v>0</v>
      </c>
      <c r="F15" s="66">
        <f t="shared" si="2"/>
        <v>0</v>
      </c>
      <c r="G15" s="66">
        <f t="shared" si="2"/>
        <v>0</v>
      </c>
      <c r="H15" s="66">
        <f t="shared" si="2"/>
        <v>0</v>
      </c>
      <c r="I15" s="66">
        <f t="shared" si="2"/>
        <v>0</v>
      </c>
      <c r="J15" s="66">
        <f t="shared" si="2"/>
        <v>0</v>
      </c>
      <c r="K15" s="66">
        <f t="shared" si="2"/>
        <v>0</v>
      </c>
      <c r="L15" s="66">
        <f t="shared" si="2"/>
        <v>0</v>
      </c>
      <c r="M15" s="66">
        <f t="shared" si="3"/>
        <v>0</v>
      </c>
      <c r="N15" s="66">
        <f t="shared" si="3"/>
        <v>0</v>
      </c>
      <c r="O15" s="66">
        <f t="shared" si="3"/>
        <v>0</v>
      </c>
      <c r="P15" s="66">
        <f t="shared" si="3"/>
        <v>0</v>
      </c>
      <c r="Q15" s="66">
        <f t="shared" si="3"/>
        <v>0</v>
      </c>
      <c r="R15" s="66">
        <f t="shared" si="3"/>
        <v>1</v>
      </c>
      <c r="S15" s="66">
        <f t="shared" si="3"/>
        <v>1</v>
      </c>
      <c r="T15" s="66">
        <f t="shared" si="3"/>
        <v>1</v>
      </c>
      <c r="U15" s="66">
        <f t="shared" si="3"/>
        <v>1</v>
      </c>
      <c r="V15" s="66">
        <f t="shared" si="3"/>
        <v>1</v>
      </c>
      <c r="W15" s="66">
        <f t="shared" si="4"/>
        <v>1</v>
      </c>
      <c r="X15" s="66">
        <f t="shared" si="4"/>
        <v>1</v>
      </c>
      <c r="Y15" s="66">
        <f t="shared" si="4"/>
        <v>1</v>
      </c>
      <c r="Z15" s="66">
        <f t="shared" si="4"/>
        <v>1</v>
      </c>
      <c r="AA15" s="66">
        <f t="shared" si="4"/>
        <v>1</v>
      </c>
      <c r="AB15" s="66">
        <f t="shared" si="4"/>
        <v>0</v>
      </c>
      <c r="AC15" s="66">
        <f t="shared" si="4"/>
        <v>0</v>
      </c>
      <c r="AD15" s="66">
        <f t="shared" si="4"/>
        <v>0</v>
      </c>
      <c r="AE15" s="66">
        <f t="shared" si="4"/>
        <v>0</v>
      </c>
      <c r="AF15" s="66">
        <f t="shared" si="4"/>
        <v>0</v>
      </c>
      <c r="AG15" s="66">
        <f t="shared" si="5"/>
        <v>0</v>
      </c>
      <c r="AH15" s="66">
        <f t="shared" si="5"/>
        <v>0</v>
      </c>
      <c r="AI15" s="66">
        <f t="shared" si="5"/>
        <v>0</v>
      </c>
      <c r="AJ15" s="66">
        <f t="shared" si="5"/>
        <v>0</v>
      </c>
      <c r="AK15" s="66">
        <f t="shared" si="5"/>
        <v>0</v>
      </c>
      <c r="AL15" s="66">
        <f t="shared" si="5"/>
        <v>0</v>
      </c>
      <c r="AO15" s="45" t="str">
        <f>IF(AM6&gt;0,B6,"N/A")</f>
        <v>N/A</v>
      </c>
      <c r="AP15" s="67">
        <f t="shared" si="6"/>
        <v>0</v>
      </c>
    </row>
    <row r="16" spans="1:43" ht="15" customHeight="1" x14ac:dyDescent="0.25">
      <c r="B16" s="65" t="s">
        <v>43</v>
      </c>
      <c r="C16" s="66">
        <f t="shared" si="2"/>
        <v>0</v>
      </c>
      <c r="D16" s="66">
        <f t="shared" si="2"/>
        <v>0</v>
      </c>
      <c r="E16" s="66">
        <f t="shared" si="2"/>
        <v>0</v>
      </c>
      <c r="F16" s="66">
        <f t="shared" si="2"/>
        <v>0</v>
      </c>
      <c r="G16" s="66">
        <f t="shared" si="2"/>
        <v>0</v>
      </c>
      <c r="H16" s="66">
        <f t="shared" si="2"/>
        <v>0</v>
      </c>
      <c r="I16" s="66">
        <f t="shared" si="2"/>
        <v>0</v>
      </c>
      <c r="J16" s="66">
        <f t="shared" si="2"/>
        <v>0</v>
      </c>
      <c r="K16" s="66">
        <f t="shared" si="2"/>
        <v>1</v>
      </c>
      <c r="L16" s="66">
        <f t="shared" si="2"/>
        <v>1</v>
      </c>
      <c r="M16" s="66">
        <f t="shared" si="3"/>
        <v>1</v>
      </c>
      <c r="N16" s="66">
        <f t="shared" si="3"/>
        <v>1</v>
      </c>
      <c r="O16" s="66">
        <f t="shared" si="3"/>
        <v>1</v>
      </c>
      <c r="P16" s="66">
        <f t="shared" si="3"/>
        <v>1</v>
      </c>
      <c r="Q16" s="66">
        <f t="shared" si="3"/>
        <v>1</v>
      </c>
      <c r="R16" s="66">
        <f t="shared" si="3"/>
        <v>0</v>
      </c>
      <c r="S16" s="66">
        <f t="shared" si="3"/>
        <v>1</v>
      </c>
      <c r="T16" s="66">
        <f t="shared" si="3"/>
        <v>1</v>
      </c>
      <c r="U16" s="66">
        <f t="shared" si="3"/>
        <v>1</v>
      </c>
      <c r="V16" s="66">
        <f t="shared" si="3"/>
        <v>1</v>
      </c>
      <c r="W16" s="66">
        <f t="shared" si="4"/>
        <v>1</v>
      </c>
      <c r="X16" s="66">
        <f t="shared" si="4"/>
        <v>1</v>
      </c>
      <c r="Y16" s="66">
        <f t="shared" si="4"/>
        <v>0</v>
      </c>
      <c r="Z16" s="66">
        <f t="shared" si="4"/>
        <v>0</v>
      </c>
      <c r="AA16" s="66">
        <f t="shared" si="4"/>
        <v>0</v>
      </c>
      <c r="AB16" s="66">
        <f t="shared" si="4"/>
        <v>0</v>
      </c>
      <c r="AC16" s="66">
        <f t="shared" si="4"/>
        <v>0</v>
      </c>
      <c r="AD16" s="66">
        <f t="shared" si="4"/>
        <v>0</v>
      </c>
      <c r="AE16" s="66">
        <f t="shared" si="4"/>
        <v>0</v>
      </c>
      <c r="AF16" s="66">
        <f t="shared" si="4"/>
        <v>0</v>
      </c>
      <c r="AG16" s="66">
        <f t="shared" si="5"/>
        <v>0</v>
      </c>
      <c r="AH16" s="66">
        <f t="shared" si="5"/>
        <v>0</v>
      </c>
      <c r="AI16" s="66">
        <f t="shared" si="5"/>
        <v>0</v>
      </c>
      <c r="AJ16" s="66">
        <f t="shared" si="5"/>
        <v>0</v>
      </c>
      <c r="AK16" s="66">
        <f t="shared" si="5"/>
        <v>0</v>
      </c>
      <c r="AL16" s="66">
        <f t="shared" si="5"/>
        <v>0</v>
      </c>
      <c r="AO16" s="45" t="str">
        <f>IF(AM7&gt;0,B7,"N/A")</f>
        <v>N/A</v>
      </c>
      <c r="AP16" s="67">
        <f t="shared" si="6"/>
        <v>0</v>
      </c>
    </row>
    <row r="17" spans="2:42" ht="15" customHeight="1" x14ac:dyDescent="0.25">
      <c r="B17" s="68" t="s">
        <v>42</v>
      </c>
      <c r="C17" s="66">
        <f t="shared" si="2"/>
        <v>0</v>
      </c>
      <c r="D17" s="66">
        <f t="shared" si="2"/>
        <v>0</v>
      </c>
      <c r="E17" s="66">
        <f t="shared" si="2"/>
        <v>1</v>
      </c>
      <c r="F17" s="66">
        <f t="shared" si="2"/>
        <v>1</v>
      </c>
      <c r="G17" s="66">
        <f t="shared" si="2"/>
        <v>1</v>
      </c>
      <c r="H17" s="66">
        <f t="shared" si="2"/>
        <v>1</v>
      </c>
      <c r="I17" s="66">
        <f t="shared" si="2"/>
        <v>1</v>
      </c>
      <c r="J17" s="66">
        <f t="shared" si="2"/>
        <v>1</v>
      </c>
      <c r="K17" s="66">
        <f t="shared" si="2"/>
        <v>1</v>
      </c>
      <c r="L17" s="66">
        <f t="shared" si="2"/>
        <v>1</v>
      </c>
      <c r="M17" s="66">
        <f t="shared" si="3"/>
        <v>1</v>
      </c>
      <c r="N17" s="66">
        <f t="shared" si="3"/>
        <v>1</v>
      </c>
      <c r="O17" s="66">
        <f t="shared" si="3"/>
        <v>1</v>
      </c>
      <c r="P17" s="66">
        <f t="shared" si="3"/>
        <v>1</v>
      </c>
      <c r="Q17" s="66">
        <f t="shared" si="3"/>
        <v>1</v>
      </c>
      <c r="R17" s="66">
        <f t="shared" si="3"/>
        <v>1</v>
      </c>
      <c r="S17" s="66">
        <f t="shared" si="3"/>
        <v>0</v>
      </c>
      <c r="T17" s="66">
        <f t="shared" si="3"/>
        <v>0</v>
      </c>
      <c r="U17" s="66">
        <f t="shared" si="3"/>
        <v>0</v>
      </c>
      <c r="V17" s="66">
        <f t="shared" si="3"/>
        <v>0</v>
      </c>
      <c r="W17" s="66">
        <f t="shared" si="4"/>
        <v>0</v>
      </c>
      <c r="X17" s="66">
        <f t="shared" si="4"/>
        <v>0</v>
      </c>
      <c r="Y17" s="66">
        <f t="shared" si="4"/>
        <v>0</v>
      </c>
      <c r="Z17" s="66">
        <f t="shared" si="4"/>
        <v>0</v>
      </c>
      <c r="AA17" s="66">
        <f t="shared" si="4"/>
        <v>0</v>
      </c>
      <c r="AB17" s="66">
        <f t="shared" si="4"/>
        <v>0</v>
      </c>
      <c r="AC17" s="66">
        <f t="shared" si="4"/>
        <v>0</v>
      </c>
      <c r="AD17" s="66">
        <f t="shared" si="4"/>
        <v>0</v>
      </c>
      <c r="AE17" s="66">
        <f t="shared" si="4"/>
        <v>0</v>
      </c>
      <c r="AF17" s="66">
        <f t="shared" si="4"/>
        <v>0</v>
      </c>
      <c r="AG17" s="66">
        <f t="shared" si="5"/>
        <v>0</v>
      </c>
      <c r="AH17" s="66">
        <f t="shared" si="5"/>
        <v>0</v>
      </c>
      <c r="AI17" s="66">
        <f t="shared" si="5"/>
        <v>0</v>
      </c>
      <c r="AJ17" s="66">
        <f t="shared" si="5"/>
        <v>0</v>
      </c>
      <c r="AK17" s="66">
        <f t="shared" si="5"/>
        <v>0</v>
      </c>
      <c r="AL17" s="66">
        <f t="shared" si="5"/>
        <v>0</v>
      </c>
      <c r="AO17" s="45" t="str">
        <f>IF(AM8&gt;0,B8,"N/A")</f>
        <v>N/A</v>
      </c>
      <c r="AP17" s="67">
        <f t="shared" si="6"/>
        <v>0</v>
      </c>
    </row>
    <row r="18" spans="2:42" ht="15" customHeight="1" x14ac:dyDescent="0.25">
      <c r="B18" s="69" t="s">
        <v>56</v>
      </c>
      <c r="C18" s="66">
        <f t="shared" si="2"/>
        <v>0</v>
      </c>
      <c r="D18" s="66">
        <f t="shared" si="2"/>
        <v>0</v>
      </c>
      <c r="E18" s="66">
        <f t="shared" si="2"/>
        <v>0</v>
      </c>
      <c r="F18" s="66">
        <f t="shared" si="2"/>
        <v>0</v>
      </c>
      <c r="G18" s="66">
        <f t="shared" si="2"/>
        <v>0</v>
      </c>
      <c r="H18" s="66">
        <f t="shared" si="2"/>
        <v>0</v>
      </c>
      <c r="I18" s="66">
        <f t="shared" si="2"/>
        <v>0</v>
      </c>
      <c r="J18" s="66">
        <f t="shared" si="2"/>
        <v>0</v>
      </c>
      <c r="K18" s="66">
        <f t="shared" si="2"/>
        <v>0</v>
      </c>
      <c r="L18" s="66">
        <f t="shared" si="2"/>
        <v>0</v>
      </c>
      <c r="M18" s="66">
        <f t="shared" si="3"/>
        <v>0</v>
      </c>
      <c r="N18" s="66">
        <f t="shared" si="3"/>
        <v>0</v>
      </c>
      <c r="O18" s="66">
        <f t="shared" si="3"/>
        <v>0</v>
      </c>
      <c r="P18" s="66">
        <f t="shared" si="3"/>
        <v>0</v>
      </c>
      <c r="Q18" s="66">
        <f t="shared" si="3"/>
        <v>0</v>
      </c>
      <c r="R18" s="66">
        <f t="shared" si="3"/>
        <v>0</v>
      </c>
      <c r="S18" s="66">
        <f t="shared" si="3"/>
        <v>0</v>
      </c>
      <c r="T18" s="66">
        <f t="shared" si="3"/>
        <v>0</v>
      </c>
      <c r="U18" s="66">
        <f t="shared" si="3"/>
        <v>0</v>
      </c>
      <c r="V18" s="66">
        <f t="shared" si="3"/>
        <v>0</v>
      </c>
      <c r="W18" s="66">
        <f t="shared" si="4"/>
        <v>0</v>
      </c>
      <c r="X18" s="66">
        <f t="shared" si="4"/>
        <v>0</v>
      </c>
      <c r="Y18" s="66">
        <f t="shared" si="4"/>
        <v>0</v>
      </c>
      <c r="Z18" s="66">
        <f t="shared" si="4"/>
        <v>0</v>
      </c>
      <c r="AA18" s="66">
        <f t="shared" si="4"/>
        <v>0</v>
      </c>
      <c r="AB18" s="66">
        <f t="shared" si="4"/>
        <v>0</v>
      </c>
      <c r="AC18" s="66">
        <f t="shared" si="4"/>
        <v>0</v>
      </c>
      <c r="AD18" s="66">
        <f t="shared" si="4"/>
        <v>0</v>
      </c>
      <c r="AE18" s="66">
        <f t="shared" si="4"/>
        <v>0</v>
      </c>
      <c r="AF18" s="66">
        <f t="shared" si="4"/>
        <v>0</v>
      </c>
      <c r="AG18" s="66">
        <f t="shared" si="5"/>
        <v>0</v>
      </c>
      <c r="AH18" s="66">
        <f t="shared" si="5"/>
        <v>0</v>
      </c>
      <c r="AI18" s="66">
        <f t="shared" si="5"/>
        <v>0</v>
      </c>
      <c r="AJ18" s="66">
        <f t="shared" si="5"/>
        <v>0</v>
      </c>
      <c r="AK18" s="66">
        <f t="shared" si="5"/>
        <v>0</v>
      </c>
      <c r="AL18" s="66">
        <f t="shared" si="5"/>
        <v>0</v>
      </c>
      <c r="AO18" s="45" t="str">
        <f>IF(AM9&gt;0,B9,"N/A")</f>
        <v>N/A</v>
      </c>
      <c r="AP18" s="67">
        <f t="shared" si="6"/>
        <v>0</v>
      </c>
    </row>
    <row r="19" spans="2:42" x14ac:dyDescent="0.25">
      <c r="AO19" s="45" t="s">
        <v>53</v>
      </c>
      <c r="AP19" s="45">
        <f>SUM(AP13:AP18)</f>
        <v>5</v>
      </c>
    </row>
    <row r="20" spans="2:42" ht="14.25" customHeight="1" x14ac:dyDescent="0.25">
      <c r="B20" s="64" t="s">
        <v>38</v>
      </c>
      <c r="C20" s="70" t="s">
        <v>40</v>
      </c>
      <c r="D20" s="70" t="s">
        <v>48</v>
      </c>
      <c r="E20" s="70" t="s">
        <v>49</v>
      </c>
      <c r="F20" s="70" t="s">
        <v>50</v>
      </c>
      <c r="G20" s="70" t="s">
        <v>51</v>
      </c>
      <c r="H20" s="70" t="s">
        <v>52</v>
      </c>
    </row>
    <row r="21" spans="2:42" x14ac:dyDescent="0.25">
      <c r="B21" s="70" t="s">
        <v>45</v>
      </c>
      <c r="C21" s="71">
        <v>4</v>
      </c>
      <c r="D21" s="71">
        <v>1</v>
      </c>
      <c r="E21" s="71"/>
      <c r="F21" s="71"/>
      <c r="G21" s="71"/>
      <c r="H21" s="71"/>
      <c r="AO21" s="72" t="s">
        <v>57</v>
      </c>
      <c r="AP21" s="11">
        <f>AM10</f>
        <v>27</v>
      </c>
    </row>
    <row r="22" spans="2:42" ht="30" x14ac:dyDescent="0.25">
      <c r="B22" s="70" t="s">
        <v>41</v>
      </c>
      <c r="C22" s="71">
        <v>2</v>
      </c>
      <c r="D22" s="71">
        <v>5</v>
      </c>
      <c r="E22" s="71"/>
      <c r="F22" s="71"/>
      <c r="G22" s="71"/>
      <c r="H22" s="71"/>
      <c r="AO22" s="74" t="s">
        <v>58</v>
      </c>
      <c r="AP22" s="11"/>
    </row>
    <row r="23" spans="2:42" x14ac:dyDescent="0.25">
      <c r="B23" s="70" t="s">
        <v>44</v>
      </c>
      <c r="C23" s="71">
        <v>7</v>
      </c>
      <c r="D23" s="71">
        <v>3</v>
      </c>
      <c r="E23" s="71"/>
      <c r="F23" s="71"/>
      <c r="G23" s="71"/>
      <c r="H23" s="71"/>
    </row>
    <row r="24" spans="2:42" x14ac:dyDescent="0.25">
      <c r="B24" s="70" t="s">
        <v>43</v>
      </c>
      <c r="C24" s="71">
        <v>7</v>
      </c>
      <c r="D24" s="71">
        <v>6</v>
      </c>
      <c r="E24" s="71"/>
      <c r="F24" s="71"/>
      <c r="G24" s="71"/>
      <c r="H24" s="71"/>
      <c r="AO24" s="45" t="s">
        <v>59</v>
      </c>
      <c r="AP24" s="73">
        <f>AP21*COUNTIF(AP12:AP18,"&gt;0")</f>
        <v>54</v>
      </c>
    </row>
    <row r="25" spans="2:42" x14ac:dyDescent="0.25">
      <c r="B25" s="70" t="s">
        <v>42</v>
      </c>
      <c r="C25" s="71">
        <v>6</v>
      </c>
      <c r="D25" s="71">
        <v>8</v>
      </c>
      <c r="E25" s="71"/>
      <c r="F25" s="71"/>
      <c r="G25" s="71"/>
      <c r="H25" s="71"/>
      <c r="AP25" s="75"/>
    </row>
    <row r="26" spans="2:42" ht="30" x14ac:dyDescent="0.25">
      <c r="AO26" s="45" t="s">
        <v>18</v>
      </c>
      <c r="AP26" s="76">
        <f>1-AP27</f>
        <v>0.90740740740740744</v>
      </c>
    </row>
    <row r="27" spans="2:42" ht="30" x14ac:dyDescent="0.25">
      <c r="B27" s="64" t="s">
        <v>60</v>
      </c>
      <c r="C27" s="70" t="s">
        <v>45</v>
      </c>
      <c r="D27" s="70" t="s">
        <v>41</v>
      </c>
      <c r="E27" s="70" t="s">
        <v>44</v>
      </c>
      <c r="F27" s="70" t="s">
        <v>43</v>
      </c>
      <c r="G27" s="70" t="s">
        <v>42</v>
      </c>
      <c r="AO27" s="45" t="s">
        <v>55</v>
      </c>
      <c r="AP27" s="76">
        <f>AP19/(AP21*COUNTIF(AP13:AP18,"&gt;0"))</f>
        <v>9.2592592592592587E-2</v>
      </c>
    </row>
    <row r="28" spans="2:42" x14ac:dyDescent="0.25">
      <c r="B28" s="70" t="s">
        <v>40</v>
      </c>
      <c r="C28" s="71">
        <f>C21</f>
        <v>4</v>
      </c>
      <c r="D28" s="71">
        <f>C22</f>
        <v>2</v>
      </c>
      <c r="E28" s="71">
        <f>C23</f>
        <v>7</v>
      </c>
      <c r="F28" s="71">
        <f>C24</f>
        <v>7</v>
      </c>
      <c r="G28" s="71">
        <f>C25</f>
        <v>6</v>
      </c>
    </row>
    <row r="29" spans="2:42" x14ac:dyDescent="0.25">
      <c r="B29" s="70" t="s">
        <v>48</v>
      </c>
      <c r="C29" s="71">
        <f>D21</f>
        <v>1</v>
      </c>
      <c r="D29" s="71">
        <f>D22</f>
        <v>5</v>
      </c>
      <c r="E29" s="71">
        <f>D23</f>
        <v>3</v>
      </c>
      <c r="F29" s="71">
        <f>D24</f>
        <v>6</v>
      </c>
      <c r="G29" s="71">
        <f>D25</f>
        <v>8</v>
      </c>
    </row>
    <row r="30" spans="2:42" x14ac:dyDescent="0.25">
      <c r="B30" s="70" t="s">
        <v>49</v>
      </c>
      <c r="C30" s="71"/>
      <c r="D30" s="71"/>
      <c r="E30" s="71"/>
      <c r="F30" s="71"/>
      <c r="G30" s="71"/>
    </row>
    <row r="31" spans="2:42" x14ac:dyDescent="0.25">
      <c r="B31" s="70" t="s">
        <v>50</v>
      </c>
      <c r="C31" s="71"/>
      <c r="D31" s="71"/>
      <c r="E31" s="71"/>
      <c r="F31" s="71"/>
      <c r="G31" s="71"/>
    </row>
    <row r="32" spans="2:42" x14ac:dyDescent="0.25">
      <c r="B32" s="70" t="s">
        <v>51</v>
      </c>
      <c r="C32" s="71"/>
      <c r="D32" s="71"/>
      <c r="E32" s="71"/>
      <c r="F32" s="71"/>
      <c r="G32" s="71"/>
    </row>
    <row r="33" spans="2:7" x14ac:dyDescent="0.25">
      <c r="B33" s="70" t="s">
        <v>52</v>
      </c>
      <c r="C33" s="71"/>
      <c r="D33" s="71"/>
      <c r="E33" s="71"/>
      <c r="F33" s="71"/>
      <c r="G33" s="71"/>
    </row>
    <row r="35" spans="2:7" x14ac:dyDescent="0.25">
      <c r="B35" s="64" t="s">
        <v>61</v>
      </c>
      <c r="C35" s="70" t="s">
        <v>45</v>
      </c>
      <c r="D35" s="70" t="s">
        <v>41</v>
      </c>
      <c r="E35" s="70" t="s">
        <v>44</v>
      </c>
      <c r="F35" s="70" t="s">
        <v>43</v>
      </c>
      <c r="G35" s="70" t="s">
        <v>42</v>
      </c>
    </row>
    <row r="36" spans="2:7" x14ac:dyDescent="0.25">
      <c r="B36" s="70" t="s">
        <v>40</v>
      </c>
      <c r="C36" s="77">
        <f t="shared" ref="C36:G41" si="7">IF(IF(COUNTIF($B4:$AL4,C$35)=C28,COUNTIF($B4:$AL4,C$35),"R")=0,"",IF(IF(COUNTIF($B4:$AL4,C$35)=C28,COUNTIF($B4:$AL4,C$35),"R")="R","R",IF(COUNTIF($B4:$AL4,C$35)=C28,COUNTIF($B4:$AL4,C$35),"R")))</f>
        <v>4</v>
      </c>
      <c r="D36" s="77">
        <f t="shared" si="7"/>
        <v>2</v>
      </c>
      <c r="E36" s="77">
        <f t="shared" si="7"/>
        <v>7</v>
      </c>
      <c r="F36" s="77">
        <f t="shared" si="7"/>
        <v>7</v>
      </c>
      <c r="G36" s="77">
        <f t="shared" si="7"/>
        <v>6</v>
      </c>
    </row>
    <row r="37" spans="2:7" x14ac:dyDescent="0.25">
      <c r="B37" s="70" t="s">
        <v>48</v>
      </c>
      <c r="C37" s="77">
        <f t="shared" si="7"/>
        <v>1</v>
      </c>
      <c r="D37" s="77">
        <f t="shared" si="7"/>
        <v>5</v>
      </c>
      <c r="E37" s="77">
        <f t="shared" si="7"/>
        <v>3</v>
      </c>
      <c r="F37" s="77">
        <f t="shared" si="7"/>
        <v>6</v>
      </c>
      <c r="G37" s="77">
        <f t="shared" si="7"/>
        <v>8</v>
      </c>
    </row>
    <row r="38" spans="2:7" x14ac:dyDescent="0.25">
      <c r="B38" s="70" t="s">
        <v>49</v>
      </c>
      <c r="C38" s="77" t="str">
        <f t="shared" si="7"/>
        <v/>
      </c>
      <c r="D38" s="77" t="str">
        <f t="shared" si="7"/>
        <v/>
      </c>
      <c r="E38" s="77" t="str">
        <f t="shared" si="7"/>
        <v/>
      </c>
      <c r="F38" s="77" t="str">
        <f t="shared" si="7"/>
        <v/>
      </c>
      <c r="G38" s="77" t="str">
        <f t="shared" si="7"/>
        <v/>
      </c>
    </row>
    <row r="39" spans="2:7" x14ac:dyDescent="0.25">
      <c r="B39" s="70" t="s">
        <v>50</v>
      </c>
      <c r="C39" s="77" t="str">
        <f t="shared" si="7"/>
        <v/>
      </c>
      <c r="D39" s="77" t="str">
        <f t="shared" si="7"/>
        <v/>
      </c>
      <c r="E39" s="77" t="str">
        <f t="shared" si="7"/>
        <v/>
      </c>
      <c r="F39" s="77" t="str">
        <f t="shared" si="7"/>
        <v/>
      </c>
      <c r="G39" s="77" t="str">
        <f t="shared" si="7"/>
        <v/>
      </c>
    </row>
    <row r="40" spans="2:7" x14ac:dyDescent="0.25">
      <c r="B40" s="70" t="s">
        <v>51</v>
      </c>
      <c r="C40" s="77" t="str">
        <f t="shared" si="7"/>
        <v/>
      </c>
      <c r="D40" s="77" t="str">
        <f t="shared" si="7"/>
        <v/>
      </c>
      <c r="E40" s="77" t="str">
        <f t="shared" si="7"/>
        <v/>
      </c>
      <c r="F40" s="77" t="str">
        <f t="shared" si="7"/>
        <v/>
      </c>
      <c r="G40" s="77" t="str">
        <f t="shared" si="7"/>
        <v/>
      </c>
    </row>
    <row r="41" spans="2:7" x14ac:dyDescent="0.25">
      <c r="B41" s="70" t="s">
        <v>52</v>
      </c>
      <c r="C41" s="77" t="str">
        <f t="shared" si="7"/>
        <v/>
      </c>
      <c r="D41" s="77" t="str">
        <f t="shared" si="7"/>
        <v/>
      </c>
      <c r="E41" s="77" t="str">
        <f t="shared" si="7"/>
        <v/>
      </c>
      <c r="F41" s="77" t="str">
        <f t="shared" si="7"/>
        <v/>
      </c>
      <c r="G41" s="77" t="str">
        <f t="shared" si="7"/>
        <v/>
      </c>
    </row>
  </sheetData>
  <mergeCells count="3">
    <mergeCell ref="A1:AM1"/>
    <mergeCell ref="AO3:AO4"/>
    <mergeCell ref="AP21:AP22"/>
  </mergeCells>
  <conditionalFormatting sqref="C13:AL18">
    <cfRule type="cellIs" dxfId="1" priority="2" operator="greaterThan">
      <formula>1</formula>
    </cfRule>
  </conditionalFormatting>
  <conditionalFormatting sqref="C36:G41">
    <cfRule type="containsText" dxfId="0" priority="3" operator="containsText" text="R">
      <formula>NOT(ISERROR(SEARCH("R",C36)))</formula>
    </cfRule>
  </conditionalFormatting>
  <pageMargins left="0.7" right="0.7" top="0.75" bottom="0.75" header="0.511811023622047" footer="0.511811023622047"/>
  <pageSetup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V16"/>
  <sheetViews>
    <sheetView showGridLines="0" zoomScale="75" zoomScaleNormal="75" workbookViewId="0">
      <selection activeCell="S15" sqref="S15"/>
    </sheetView>
  </sheetViews>
  <sheetFormatPr baseColWidth="10" defaultColWidth="10.7109375" defaultRowHeight="15" x14ac:dyDescent="0.25"/>
  <cols>
    <col min="1" max="1" width="3.5703125" customWidth="1"/>
    <col min="3" max="22" width="3.5703125" customWidth="1"/>
  </cols>
  <sheetData>
    <row r="2" spans="2:22" x14ac:dyDescent="0.25">
      <c r="B2" s="78" t="s">
        <v>37</v>
      </c>
      <c r="C2" s="79">
        <v>1</v>
      </c>
      <c r="D2" s="16">
        <v>2</v>
      </c>
      <c r="E2" s="16">
        <v>3</v>
      </c>
      <c r="F2" s="16">
        <v>4</v>
      </c>
      <c r="G2" s="16">
        <v>5</v>
      </c>
      <c r="H2" s="16">
        <v>6</v>
      </c>
      <c r="I2" s="16">
        <v>7</v>
      </c>
      <c r="J2" s="16">
        <v>8</v>
      </c>
      <c r="K2" s="16">
        <v>9</v>
      </c>
      <c r="L2" s="16">
        <v>10</v>
      </c>
      <c r="M2" s="16">
        <v>11</v>
      </c>
      <c r="N2" s="16">
        <v>12</v>
      </c>
      <c r="O2" s="16">
        <v>13</v>
      </c>
      <c r="P2" s="16">
        <v>14</v>
      </c>
      <c r="Q2" s="16">
        <v>15</v>
      </c>
      <c r="R2" s="16">
        <v>16</v>
      </c>
      <c r="S2" s="16">
        <v>17</v>
      </c>
      <c r="T2" s="16">
        <v>18</v>
      </c>
      <c r="U2" s="16">
        <v>19</v>
      </c>
      <c r="V2" s="17">
        <v>20</v>
      </c>
    </row>
    <row r="3" spans="2:22" x14ac:dyDescent="0.25">
      <c r="B3" s="80" t="s">
        <v>45</v>
      </c>
      <c r="C3" s="10">
        <v>1</v>
      </c>
      <c r="D3" s="10"/>
      <c r="E3" s="9">
        <v>5</v>
      </c>
      <c r="F3" s="9"/>
      <c r="G3" s="9"/>
      <c r="H3" s="9"/>
      <c r="I3" s="9"/>
      <c r="J3" s="82"/>
      <c r="K3" s="8">
        <v>4</v>
      </c>
      <c r="L3" s="8"/>
      <c r="M3" s="8"/>
      <c r="N3" s="82"/>
      <c r="O3" s="82"/>
      <c r="P3" s="82"/>
      <c r="Q3" s="82"/>
      <c r="R3" s="7">
        <v>2</v>
      </c>
      <c r="S3" s="7"/>
      <c r="T3" s="7"/>
      <c r="U3" s="7"/>
      <c r="V3" s="83">
        <v>3</v>
      </c>
    </row>
    <row r="4" spans="2:22" x14ac:dyDescent="0.25">
      <c r="B4" s="84" t="s">
        <v>41</v>
      </c>
      <c r="C4" s="85"/>
      <c r="D4" s="35"/>
      <c r="E4" s="6">
        <v>1</v>
      </c>
      <c r="F4" s="6"/>
      <c r="G4" s="6"/>
      <c r="H4" s="5">
        <v>4</v>
      </c>
      <c r="I4" s="5"/>
      <c r="J4" s="5"/>
      <c r="K4" s="4">
        <v>5</v>
      </c>
      <c r="L4" s="4"/>
      <c r="M4" s="4"/>
      <c r="N4" s="3">
        <v>3</v>
      </c>
      <c r="O4" s="3"/>
      <c r="P4" s="3"/>
      <c r="Q4" s="35"/>
      <c r="R4" s="35"/>
      <c r="S4" s="35"/>
      <c r="T4" s="35"/>
      <c r="U4" s="35"/>
      <c r="V4" s="23"/>
    </row>
    <row r="5" spans="2:22" x14ac:dyDescent="0.25">
      <c r="B5" s="88" t="s">
        <v>44</v>
      </c>
      <c r="C5" s="2">
        <v>4</v>
      </c>
      <c r="D5" s="2"/>
      <c r="E5" s="2"/>
      <c r="F5" s="2"/>
      <c r="G5" s="89"/>
      <c r="H5" s="1">
        <v>1</v>
      </c>
      <c r="I5" s="1"/>
      <c r="J5" s="1"/>
      <c r="K5" s="1"/>
      <c r="L5" s="177">
        <v>2</v>
      </c>
      <c r="M5" s="177"/>
      <c r="N5" s="177"/>
      <c r="O5" s="177"/>
      <c r="P5" s="177"/>
      <c r="Q5" s="177"/>
      <c r="R5" s="178">
        <v>3</v>
      </c>
      <c r="S5" s="178"/>
      <c r="T5" s="89"/>
      <c r="U5" s="89"/>
      <c r="V5" s="31"/>
    </row>
    <row r="6" spans="2:22" x14ac:dyDescent="0.25"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</row>
    <row r="7" spans="2:22" ht="13.5" customHeight="1" x14ac:dyDescent="0.25">
      <c r="E7" s="179" t="s">
        <v>37</v>
      </c>
      <c r="F7" s="179"/>
      <c r="G7" s="179"/>
      <c r="H7" s="180" t="s">
        <v>55</v>
      </c>
      <c r="I7" s="180"/>
      <c r="J7" s="180"/>
      <c r="N7" s="181" t="s">
        <v>38</v>
      </c>
      <c r="O7" s="181"/>
      <c r="P7" s="182" t="s">
        <v>62</v>
      </c>
      <c r="Q7" s="182"/>
      <c r="R7" s="182"/>
      <c r="S7" s="183" t="s">
        <v>63</v>
      </c>
      <c r="T7" s="183"/>
      <c r="U7" s="183"/>
    </row>
    <row r="8" spans="2:22" x14ac:dyDescent="0.25">
      <c r="E8" s="184" t="s">
        <v>45</v>
      </c>
      <c r="F8" s="184"/>
      <c r="G8" s="184"/>
      <c r="H8" s="185">
        <v>5</v>
      </c>
      <c r="I8" s="185"/>
      <c r="J8" s="185"/>
      <c r="N8" s="181"/>
      <c r="O8" s="181"/>
      <c r="P8" s="182"/>
      <c r="Q8" s="182"/>
      <c r="R8" s="182"/>
      <c r="S8" s="183"/>
      <c r="T8" s="183"/>
      <c r="U8" s="183"/>
    </row>
    <row r="9" spans="2:22" x14ac:dyDescent="0.25">
      <c r="E9" s="186" t="s">
        <v>41</v>
      </c>
      <c r="F9" s="186"/>
      <c r="G9" s="186"/>
      <c r="H9" s="187">
        <v>8</v>
      </c>
      <c r="I9" s="187"/>
      <c r="J9" s="187"/>
      <c r="N9" s="184">
        <v>1</v>
      </c>
      <c r="O9" s="184"/>
      <c r="P9" s="188">
        <v>0</v>
      </c>
      <c r="Q9" s="188"/>
      <c r="R9" s="188"/>
      <c r="S9" s="185">
        <v>9</v>
      </c>
      <c r="T9" s="185"/>
      <c r="U9" s="185"/>
    </row>
    <row r="10" spans="2:22" x14ac:dyDescent="0.25">
      <c r="E10" s="189" t="s">
        <v>44</v>
      </c>
      <c r="F10" s="189"/>
      <c r="G10" s="189"/>
      <c r="H10" s="190">
        <v>4</v>
      </c>
      <c r="I10" s="190"/>
      <c r="J10" s="190"/>
      <c r="N10" s="186">
        <v>2</v>
      </c>
      <c r="O10" s="186"/>
      <c r="P10" s="191">
        <v>9</v>
      </c>
      <c r="Q10" s="191"/>
      <c r="R10" s="191"/>
      <c r="S10" s="187">
        <v>19</v>
      </c>
      <c r="T10" s="187"/>
      <c r="U10" s="187"/>
    </row>
    <row r="11" spans="2:22" x14ac:dyDescent="0.25">
      <c r="E11" s="192" t="s">
        <v>53</v>
      </c>
      <c r="F11" s="192"/>
      <c r="G11" s="192"/>
      <c r="H11" s="193">
        <f>SUM(H8:J10)</f>
        <v>17</v>
      </c>
      <c r="I11" s="193"/>
      <c r="J11" s="193"/>
      <c r="N11" s="186">
        <v>3</v>
      </c>
      <c r="O11" s="186"/>
      <c r="P11" s="191">
        <v>14</v>
      </c>
      <c r="Q11" s="191"/>
      <c r="R11" s="191"/>
      <c r="S11" s="187">
        <v>20</v>
      </c>
      <c r="T11" s="187"/>
      <c r="U11" s="187"/>
    </row>
    <row r="12" spans="2:22" x14ac:dyDescent="0.25">
      <c r="N12" s="186">
        <v>4</v>
      </c>
      <c r="O12" s="186"/>
      <c r="P12" s="191">
        <v>1</v>
      </c>
      <c r="Q12" s="191"/>
      <c r="R12" s="191"/>
      <c r="S12" s="187">
        <v>11</v>
      </c>
      <c r="T12" s="187"/>
      <c r="U12" s="187"/>
    </row>
    <row r="13" spans="2:22" ht="13.5" customHeight="1" x14ac:dyDescent="0.25">
      <c r="E13" s="194" t="s">
        <v>64</v>
      </c>
      <c r="F13" s="194"/>
      <c r="G13" s="194"/>
      <c r="H13" s="195">
        <v>20</v>
      </c>
      <c r="I13" s="195"/>
      <c r="J13" s="195"/>
      <c r="N13" s="196">
        <v>5</v>
      </c>
      <c r="O13" s="196"/>
      <c r="P13" s="197">
        <v>3</v>
      </c>
      <c r="Q13" s="197"/>
      <c r="R13" s="197"/>
      <c r="S13" s="198">
        <v>11</v>
      </c>
      <c r="T13" s="198"/>
      <c r="U13" s="198"/>
    </row>
    <row r="14" spans="2:22" x14ac:dyDescent="0.25">
      <c r="E14" s="194"/>
      <c r="F14" s="194"/>
      <c r="G14" s="194"/>
      <c r="H14" s="195"/>
      <c r="I14" s="195"/>
      <c r="J14" s="195"/>
    </row>
    <row r="16" spans="2:22" ht="14.25" customHeight="1" x14ac:dyDescent="0.25"/>
  </sheetData>
  <mergeCells count="42">
    <mergeCell ref="N12:O12"/>
    <mergeCell ref="P12:R12"/>
    <mergeCell ref="S12:U12"/>
    <mergeCell ref="E13:G14"/>
    <mergeCell ref="H13:J14"/>
    <mergeCell ref="N13:O13"/>
    <mergeCell ref="P13:R13"/>
    <mergeCell ref="S13:U13"/>
    <mergeCell ref="E11:G11"/>
    <mergeCell ref="H11:J11"/>
    <mergeCell ref="N11:O11"/>
    <mergeCell ref="P11:R11"/>
    <mergeCell ref="S11:U11"/>
    <mergeCell ref="E10:G10"/>
    <mergeCell ref="H10:J10"/>
    <mergeCell ref="N10:O10"/>
    <mergeCell ref="P10:R10"/>
    <mergeCell ref="S10:U10"/>
    <mergeCell ref="E9:G9"/>
    <mergeCell ref="H9:J9"/>
    <mergeCell ref="N9:O9"/>
    <mergeCell ref="P9:R9"/>
    <mergeCell ref="S9:U9"/>
    <mergeCell ref="C5:F5"/>
    <mergeCell ref="H5:K5"/>
    <mergeCell ref="L5:Q5"/>
    <mergeCell ref="R5:S5"/>
    <mergeCell ref="E7:G7"/>
    <mergeCell ref="H7:J7"/>
    <mergeCell ref="N7:O8"/>
    <mergeCell ref="P7:R8"/>
    <mergeCell ref="S7:U8"/>
    <mergeCell ref="E8:G8"/>
    <mergeCell ref="H8:J8"/>
    <mergeCell ref="C3:D3"/>
    <mergeCell ref="E3:I3"/>
    <mergeCell ref="K3:M3"/>
    <mergeCell ref="R3:U3"/>
    <mergeCell ref="E4:G4"/>
    <mergeCell ref="H4:J4"/>
    <mergeCell ref="K4:M4"/>
    <mergeCell ref="N4:P4"/>
  </mergeCells>
  <pageMargins left="0.7" right="0.7" top="0.75" bottom="0.75" header="0.511811023622047" footer="0.511811023622047"/>
  <pageSetup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2:AA17"/>
  <sheetViews>
    <sheetView showGridLines="0" zoomScale="75" zoomScaleNormal="75" workbookViewId="0">
      <selection activeCell="T9" sqref="T9"/>
    </sheetView>
  </sheetViews>
  <sheetFormatPr baseColWidth="10" defaultColWidth="10.7109375" defaultRowHeight="15" x14ac:dyDescent="0.25"/>
  <cols>
    <col min="1" max="1" width="3.5703125" customWidth="1"/>
    <col min="3" max="27" width="3.5703125" customWidth="1"/>
  </cols>
  <sheetData>
    <row r="2" spans="2:27" x14ac:dyDescent="0.25">
      <c r="B2" s="78" t="s">
        <v>37</v>
      </c>
      <c r="C2" s="79">
        <v>1</v>
      </c>
      <c r="D2" s="16">
        <v>2</v>
      </c>
      <c r="E2" s="16">
        <v>3</v>
      </c>
      <c r="F2" s="16">
        <v>4</v>
      </c>
      <c r="G2" s="16">
        <v>5</v>
      </c>
      <c r="H2" s="16">
        <v>6</v>
      </c>
      <c r="I2" s="16">
        <v>7</v>
      </c>
      <c r="J2" s="16">
        <v>8</v>
      </c>
      <c r="K2" s="16">
        <v>9</v>
      </c>
      <c r="L2" s="16">
        <v>10</v>
      </c>
      <c r="M2" s="16">
        <v>11</v>
      </c>
      <c r="N2" s="16">
        <v>12</v>
      </c>
      <c r="O2" s="16">
        <v>13</v>
      </c>
      <c r="P2" s="16">
        <v>14</v>
      </c>
      <c r="Q2" s="16">
        <v>15</v>
      </c>
      <c r="R2" s="16">
        <v>16</v>
      </c>
      <c r="S2" s="16">
        <v>17</v>
      </c>
      <c r="T2" s="16">
        <v>18</v>
      </c>
      <c r="U2" s="16">
        <v>19</v>
      </c>
      <c r="V2" s="16">
        <v>20</v>
      </c>
      <c r="W2" s="16">
        <v>21</v>
      </c>
      <c r="X2" s="16">
        <v>22</v>
      </c>
      <c r="Y2" s="16">
        <v>23</v>
      </c>
      <c r="Z2" s="16">
        <v>24</v>
      </c>
      <c r="AA2" s="17">
        <v>25</v>
      </c>
    </row>
    <row r="3" spans="2:27" x14ac:dyDescent="0.25">
      <c r="B3" s="80" t="s">
        <v>45</v>
      </c>
      <c r="C3" s="199">
        <v>1</v>
      </c>
      <c r="D3" s="199"/>
      <c r="E3" s="82"/>
      <c r="F3" s="82"/>
      <c r="G3" s="82"/>
      <c r="H3" s="82"/>
      <c r="I3" s="82"/>
      <c r="J3" s="82"/>
      <c r="K3" s="82"/>
      <c r="L3" s="82"/>
      <c r="M3" s="200">
        <v>2</v>
      </c>
      <c r="N3" s="200"/>
      <c r="O3" s="201">
        <v>3</v>
      </c>
      <c r="P3" s="201"/>
      <c r="Q3" s="202">
        <v>4</v>
      </c>
      <c r="R3" s="202"/>
      <c r="S3" s="92"/>
      <c r="T3" s="92"/>
      <c r="U3" s="92"/>
      <c r="V3" s="82"/>
      <c r="W3" s="82"/>
      <c r="X3" s="82"/>
      <c r="Y3" s="82"/>
      <c r="Z3" s="82"/>
      <c r="AA3" s="20"/>
    </row>
    <row r="4" spans="2:27" x14ac:dyDescent="0.25">
      <c r="B4" s="84" t="s">
        <v>41</v>
      </c>
      <c r="C4" s="203">
        <v>3</v>
      </c>
      <c r="D4" s="203"/>
      <c r="E4" s="203"/>
      <c r="F4" s="203"/>
      <c r="G4" s="3">
        <v>4</v>
      </c>
      <c r="H4" s="3"/>
      <c r="I4" s="3"/>
      <c r="J4" s="3"/>
      <c r="K4" s="93">
        <v>1</v>
      </c>
      <c r="L4" s="35"/>
      <c r="M4" s="35"/>
      <c r="N4" s="35"/>
      <c r="O4" s="35"/>
      <c r="P4" s="35"/>
      <c r="Q4" s="35"/>
      <c r="R4" s="94"/>
      <c r="S4" s="94"/>
      <c r="T4" s="94"/>
      <c r="U4" s="94"/>
      <c r="V4" s="35"/>
      <c r="W4" s="35"/>
      <c r="X4" s="35"/>
      <c r="Y4" s="35"/>
      <c r="Z4" s="35"/>
      <c r="AA4" s="23"/>
    </row>
    <row r="5" spans="2:27" x14ac:dyDescent="0.25">
      <c r="B5" s="88" t="s">
        <v>44</v>
      </c>
      <c r="C5" s="204">
        <v>2</v>
      </c>
      <c r="D5" s="204"/>
      <c r="E5" s="204"/>
      <c r="F5" s="204"/>
      <c r="G5" s="89"/>
      <c r="H5" s="89"/>
      <c r="I5" s="89"/>
      <c r="J5" s="89"/>
      <c r="K5" s="95"/>
      <c r="L5" s="89"/>
      <c r="M5" s="89"/>
      <c r="N5" s="89"/>
      <c r="O5" s="89"/>
      <c r="P5" s="89"/>
      <c r="Q5" s="89"/>
      <c r="R5" s="177">
        <v>1</v>
      </c>
      <c r="S5" s="177"/>
      <c r="T5" s="177"/>
      <c r="U5" s="177"/>
      <c r="V5" s="89"/>
      <c r="W5" s="89"/>
      <c r="X5" s="89"/>
      <c r="Y5" s="205">
        <v>4</v>
      </c>
      <c r="Z5" s="205"/>
      <c r="AA5" s="205"/>
    </row>
    <row r="6" spans="2:27" x14ac:dyDescent="0.25"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</row>
    <row r="7" spans="2:27" ht="13.5" customHeight="1" x14ac:dyDescent="0.25">
      <c r="E7" s="179" t="s">
        <v>37</v>
      </c>
      <c r="F7" s="179"/>
      <c r="G7" s="179"/>
      <c r="H7" s="180" t="s">
        <v>55</v>
      </c>
      <c r="I7" s="180"/>
      <c r="J7" s="180"/>
      <c r="O7" s="181" t="s">
        <v>38</v>
      </c>
      <c r="P7" s="181"/>
      <c r="Q7" s="182" t="s">
        <v>62</v>
      </c>
      <c r="R7" s="182"/>
      <c r="S7" s="182"/>
      <c r="T7" s="183" t="s">
        <v>63</v>
      </c>
      <c r="U7" s="183"/>
      <c r="V7" s="183"/>
    </row>
    <row r="8" spans="2:27" x14ac:dyDescent="0.25">
      <c r="E8" s="206" t="s">
        <v>45</v>
      </c>
      <c r="F8" s="206"/>
      <c r="G8" s="206"/>
      <c r="H8" s="185">
        <v>17</v>
      </c>
      <c r="I8" s="185"/>
      <c r="J8" s="185"/>
      <c r="O8" s="181"/>
      <c r="P8" s="181"/>
      <c r="Q8" s="182"/>
      <c r="R8" s="182"/>
      <c r="S8" s="182"/>
      <c r="T8" s="183"/>
      <c r="U8" s="183"/>
      <c r="V8" s="183"/>
    </row>
    <row r="9" spans="2:27" x14ac:dyDescent="0.25">
      <c r="E9" s="207" t="s">
        <v>41</v>
      </c>
      <c r="F9" s="207"/>
      <c r="G9" s="207"/>
      <c r="H9" s="187">
        <v>16</v>
      </c>
      <c r="I9" s="187"/>
      <c r="J9" s="187"/>
      <c r="O9" s="184">
        <v>1</v>
      </c>
      <c r="P9" s="184"/>
      <c r="Q9" s="188">
        <v>1</v>
      </c>
      <c r="R9" s="188"/>
      <c r="S9" s="188"/>
      <c r="T9" s="185">
        <v>2</v>
      </c>
      <c r="U9" s="185"/>
      <c r="V9" s="185"/>
    </row>
    <row r="10" spans="2:27" x14ac:dyDescent="0.25">
      <c r="E10" s="207" t="s">
        <v>44</v>
      </c>
      <c r="F10" s="207"/>
      <c r="G10" s="207"/>
      <c r="H10" s="187">
        <v>14</v>
      </c>
      <c r="I10" s="187"/>
      <c r="J10" s="187"/>
      <c r="O10" s="186">
        <v>2</v>
      </c>
      <c r="P10" s="186"/>
      <c r="Q10" s="191">
        <v>2</v>
      </c>
      <c r="R10" s="191"/>
      <c r="S10" s="191"/>
      <c r="T10" s="187">
        <v>2</v>
      </c>
      <c r="U10" s="187"/>
      <c r="V10" s="187"/>
    </row>
    <row r="11" spans="2:27" x14ac:dyDescent="0.25">
      <c r="E11" s="208" t="s">
        <v>53</v>
      </c>
      <c r="F11" s="208"/>
      <c r="G11" s="208"/>
      <c r="H11" s="209">
        <f>SUM(H8:J10)</f>
        <v>47</v>
      </c>
      <c r="I11" s="209"/>
      <c r="J11" s="209"/>
      <c r="O11" s="186">
        <v>3</v>
      </c>
      <c r="P11" s="186"/>
      <c r="Q11" s="191">
        <v>2</v>
      </c>
      <c r="R11" s="191"/>
      <c r="S11" s="191"/>
      <c r="T11" s="187">
        <v>2</v>
      </c>
      <c r="U11" s="187"/>
      <c r="V11" s="187"/>
    </row>
    <row r="12" spans="2:27" x14ac:dyDescent="0.25">
      <c r="O12" s="186">
        <v>4</v>
      </c>
      <c r="P12" s="186"/>
      <c r="Q12" s="191">
        <v>2</v>
      </c>
      <c r="R12" s="191"/>
      <c r="S12" s="191"/>
      <c r="T12" s="187">
        <v>2</v>
      </c>
      <c r="U12" s="187"/>
      <c r="V12" s="187"/>
    </row>
    <row r="13" spans="2:27" ht="13.5" customHeight="1" x14ac:dyDescent="0.25">
      <c r="E13" s="194" t="s">
        <v>64</v>
      </c>
      <c r="F13" s="194"/>
      <c r="G13" s="194"/>
      <c r="H13" s="195">
        <v>25</v>
      </c>
      <c r="I13" s="195"/>
      <c r="J13" s="195"/>
      <c r="O13" s="210" t="s">
        <v>53</v>
      </c>
      <c r="P13" s="210"/>
      <c r="Q13" s="211">
        <f>SUM(Q9:S12)</f>
        <v>7</v>
      </c>
      <c r="R13" s="211"/>
      <c r="S13" s="211"/>
      <c r="T13" s="212">
        <f>SUM(T9:V12)</f>
        <v>8</v>
      </c>
      <c r="U13" s="212"/>
      <c r="V13" s="212"/>
    </row>
    <row r="14" spans="2:27" x14ac:dyDescent="0.25">
      <c r="E14" s="194"/>
      <c r="F14" s="194"/>
      <c r="G14" s="194"/>
      <c r="H14" s="195"/>
      <c r="I14" s="195"/>
      <c r="J14" s="195"/>
    </row>
    <row r="16" spans="2:27" ht="14.25" customHeight="1" x14ac:dyDescent="0.25">
      <c r="E16" s="213" t="s">
        <v>18</v>
      </c>
      <c r="F16" s="213"/>
      <c r="G16" s="213"/>
      <c r="H16" s="214">
        <f>1-H17</f>
        <v>0.37333333333333329</v>
      </c>
      <c r="I16" s="214"/>
      <c r="J16" s="214"/>
    </row>
    <row r="17" spans="5:10" x14ac:dyDescent="0.25">
      <c r="E17" s="215" t="s">
        <v>55</v>
      </c>
      <c r="F17" s="215"/>
      <c r="G17" s="215"/>
      <c r="H17" s="216">
        <f>H11/(H13*COUNT(H8:J10))</f>
        <v>0.62666666666666671</v>
      </c>
      <c r="I17" s="216"/>
      <c r="J17" s="216"/>
    </row>
  </sheetData>
  <mergeCells count="43">
    <mergeCell ref="E16:G16"/>
    <mergeCell ref="H16:J16"/>
    <mergeCell ref="E17:G17"/>
    <mergeCell ref="H17:J17"/>
    <mergeCell ref="O12:P12"/>
    <mergeCell ref="Q12:S12"/>
    <mergeCell ref="T12:V12"/>
    <mergeCell ref="E13:G14"/>
    <mergeCell ref="H13:J14"/>
    <mergeCell ref="O13:P13"/>
    <mergeCell ref="Q13:S13"/>
    <mergeCell ref="T13:V13"/>
    <mergeCell ref="E11:G11"/>
    <mergeCell ref="H11:J11"/>
    <mergeCell ref="O11:P11"/>
    <mergeCell ref="Q11:S11"/>
    <mergeCell ref="T11:V11"/>
    <mergeCell ref="E10:G10"/>
    <mergeCell ref="H10:J10"/>
    <mergeCell ref="O10:P10"/>
    <mergeCell ref="Q10:S10"/>
    <mergeCell ref="T10:V10"/>
    <mergeCell ref="E9:G9"/>
    <mergeCell ref="H9:J9"/>
    <mergeCell ref="O9:P9"/>
    <mergeCell ref="Q9:S9"/>
    <mergeCell ref="T9:V9"/>
    <mergeCell ref="C5:F5"/>
    <mergeCell ref="R5:U5"/>
    <mergeCell ref="Y5:AA5"/>
    <mergeCell ref="E7:G7"/>
    <mergeCell ref="H7:J7"/>
    <mergeCell ref="O7:P8"/>
    <mergeCell ref="Q7:S8"/>
    <mergeCell ref="T7:V8"/>
    <mergeCell ref="E8:G8"/>
    <mergeCell ref="H8:J8"/>
    <mergeCell ref="C3:D3"/>
    <mergeCell ref="M3:N3"/>
    <mergeCell ref="O3:P3"/>
    <mergeCell ref="Q3:R3"/>
    <mergeCell ref="C4:F4"/>
    <mergeCell ref="G4:J4"/>
  </mergeCells>
  <pageMargins left="0.7" right="0.7" top="0.75" bottom="0.75" header="0.511811023622047" footer="0.511811023622047"/>
  <pageSetup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2:AL41"/>
  <sheetViews>
    <sheetView showGridLines="0" zoomScale="75" zoomScaleNormal="75" workbookViewId="0">
      <selection activeCell="H39" sqref="H39"/>
    </sheetView>
  </sheetViews>
  <sheetFormatPr baseColWidth="10" defaultColWidth="10.7109375" defaultRowHeight="15" x14ac:dyDescent="0.25"/>
  <cols>
    <col min="1" max="1" width="3.5703125" customWidth="1"/>
    <col min="2" max="2" width="12.5703125" customWidth="1"/>
    <col min="3" max="38" width="3.5703125" customWidth="1"/>
  </cols>
  <sheetData>
    <row r="2" spans="2:38" x14ac:dyDescent="0.25">
      <c r="B2" s="78" t="s">
        <v>65</v>
      </c>
      <c r="C2" s="79">
        <v>1</v>
      </c>
      <c r="D2" s="16">
        <v>2</v>
      </c>
      <c r="E2" s="16">
        <v>3</v>
      </c>
      <c r="F2" s="16">
        <v>4</v>
      </c>
      <c r="G2" s="16">
        <v>5</v>
      </c>
      <c r="H2" s="16">
        <v>6</v>
      </c>
      <c r="I2" s="16">
        <v>7</v>
      </c>
      <c r="J2" s="16">
        <v>8</v>
      </c>
      <c r="K2" s="16">
        <v>9</v>
      </c>
      <c r="L2" s="17">
        <v>10</v>
      </c>
    </row>
    <row r="3" spans="2:38" x14ac:dyDescent="0.25">
      <c r="B3" s="80" t="s">
        <v>45</v>
      </c>
      <c r="C3" s="217">
        <v>2</v>
      </c>
      <c r="D3" s="217"/>
      <c r="E3" s="82"/>
      <c r="F3" s="82"/>
      <c r="G3" s="202">
        <v>1</v>
      </c>
      <c r="H3" s="202"/>
      <c r="I3" s="202"/>
      <c r="J3" s="91">
        <v>2</v>
      </c>
      <c r="K3" s="218">
        <v>3</v>
      </c>
      <c r="L3" s="218"/>
    </row>
    <row r="4" spans="2:38" x14ac:dyDescent="0.25">
      <c r="B4" s="84" t="s">
        <v>41</v>
      </c>
      <c r="C4" s="219">
        <v>1</v>
      </c>
      <c r="D4" s="219"/>
      <c r="E4" s="5">
        <v>3</v>
      </c>
      <c r="F4" s="5"/>
      <c r="G4" s="5"/>
      <c r="H4" s="4">
        <v>4</v>
      </c>
      <c r="I4" s="4"/>
      <c r="J4" s="4"/>
      <c r="K4" s="35"/>
      <c r="L4" s="23"/>
    </row>
    <row r="5" spans="2:38" x14ac:dyDescent="0.25">
      <c r="B5" s="84" t="s">
        <v>66</v>
      </c>
      <c r="C5" s="220">
        <v>4</v>
      </c>
      <c r="D5" s="220"/>
      <c r="E5" s="3">
        <v>1</v>
      </c>
      <c r="F5" s="3"/>
      <c r="G5" s="35"/>
      <c r="H5" s="87">
        <v>3</v>
      </c>
      <c r="I5" s="35"/>
      <c r="J5" s="35"/>
      <c r="K5" s="35"/>
      <c r="L5" s="23"/>
    </row>
    <row r="6" spans="2:38" x14ac:dyDescent="0.25">
      <c r="B6" s="88" t="s">
        <v>67</v>
      </c>
      <c r="C6" s="96"/>
      <c r="D6" s="89"/>
      <c r="E6" s="1">
        <v>2</v>
      </c>
      <c r="F6" s="1"/>
      <c r="G6" s="1"/>
      <c r="H6" s="89"/>
      <c r="I6" s="89"/>
      <c r="J6" s="89"/>
      <c r="K6" s="89"/>
      <c r="L6" s="31"/>
    </row>
    <row r="7" spans="2:38" x14ac:dyDescent="0.25"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32"/>
      <c r="AH7" s="32"/>
      <c r="AI7" s="32"/>
      <c r="AJ7" s="32"/>
      <c r="AK7" s="32"/>
      <c r="AL7" s="32"/>
    </row>
    <row r="8" spans="2:38" ht="13.5" customHeight="1" x14ac:dyDescent="0.25">
      <c r="E8" s="221" t="str">
        <f>B2</f>
        <v>Departamento</v>
      </c>
      <c r="F8" s="221"/>
      <c r="G8" s="221"/>
      <c r="H8" s="180" t="s">
        <v>55</v>
      </c>
      <c r="I8" s="180"/>
      <c r="J8" s="180"/>
      <c r="O8" s="181" t="s">
        <v>38</v>
      </c>
      <c r="P8" s="181"/>
      <c r="Q8" s="182" t="s">
        <v>62</v>
      </c>
      <c r="R8" s="182"/>
      <c r="S8" s="182"/>
      <c r="T8" s="183" t="s">
        <v>63</v>
      </c>
      <c r="U8" s="183"/>
      <c r="V8" s="183"/>
    </row>
    <row r="9" spans="2:38" x14ac:dyDescent="0.25">
      <c r="E9" s="184" t="s">
        <v>45</v>
      </c>
      <c r="F9" s="184"/>
      <c r="G9" s="184"/>
      <c r="H9" s="185">
        <v>2</v>
      </c>
      <c r="I9" s="185"/>
      <c r="J9" s="185"/>
      <c r="O9" s="181"/>
      <c r="P9" s="181"/>
      <c r="Q9" s="182"/>
      <c r="R9" s="182"/>
      <c r="S9" s="182"/>
      <c r="T9" s="183"/>
      <c r="U9" s="183"/>
      <c r="V9" s="183"/>
    </row>
    <row r="10" spans="2:38" x14ac:dyDescent="0.25">
      <c r="E10" s="186" t="s">
        <v>41</v>
      </c>
      <c r="F10" s="186"/>
      <c r="G10" s="186"/>
      <c r="H10" s="187">
        <v>2</v>
      </c>
      <c r="I10" s="187"/>
      <c r="J10" s="187"/>
      <c r="O10" s="184">
        <v>1</v>
      </c>
      <c r="P10" s="184"/>
      <c r="Q10" s="188">
        <v>1</v>
      </c>
      <c r="R10" s="188"/>
      <c r="S10" s="188"/>
      <c r="T10" s="185">
        <v>2</v>
      </c>
      <c r="U10" s="185"/>
      <c r="V10" s="185"/>
    </row>
    <row r="11" spans="2:38" x14ac:dyDescent="0.25">
      <c r="E11" s="186" t="s">
        <v>66</v>
      </c>
      <c r="F11" s="186"/>
      <c r="G11" s="186"/>
      <c r="H11" s="187">
        <v>5</v>
      </c>
      <c r="I11" s="187"/>
      <c r="J11" s="187"/>
      <c r="O11" s="186">
        <v>2</v>
      </c>
      <c r="P11" s="186"/>
      <c r="Q11" s="191">
        <v>2</v>
      </c>
      <c r="R11" s="191"/>
      <c r="S11" s="191"/>
      <c r="T11" s="187">
        <v>2</v>
      </c>
      <c r="U11" s="187"/>
      <c r="V11" s="187"/>
    </row>
    <row r="12" spans="2:38" x14ac:dyDescent="0.25">
      <c r="E12" s="186" t="s">
        <v>67</v>
      </c>
      <c r="F12" s="186"/>
      <c r="G12" s="186"/>
      <c r="H12" s="187">
        <v>7</v>
      </c>
      <c r="I12" s="187"/>
      <c r="J12" s="187"/>
      <c r="O12" s="186">
        <v>3</v>
      </c>
      <c r="P12" s="186"/>
      <c r="Q12" s="191">
        <v>2</v>
      </c>
      <c r="R12" s="191"/>
      <c r="S12" s="191"/>
      <c r="T12" s="187">
        <v>2</v>
      </c>
      <c r="U12" s="187"/>
      <c r="V12" s="187"/>
    </row>
    <row r="13" spans="2:38" x14ac:dyDescent="0.25">
      <c r="E13" s="208" t="s">
        <v>53</v>
      </c>
      <c r="F13" s="208"/>
      <c r="G13" s="208"/>
      <c r="H13" s="222">
        <f>SUM(H9:J12)</f>
        <v>16</v>
      </c>
      <c r="I13" s="222"/>
      <c r="J13" s="222"/>
      <c r="O13" s="186">
        <v>4</v>
      </c>
      <c r="P13" s="186"/>
      <c r="Q13" s="191">
        <v>2</v>
      </c>
      <c r="R13" s="191"/>
      <c r="S13" s="191"/>
      <c r="T13" s="187">
        <v>2</v>
      </c>
      <c r="U13" s="187"/>
      <c r="V13" s="187"/>
    </row>
    <row r="14" spans="2:38" x14ac:dyDescent="0.25">
      <c r="O14" s="223">
        <v>5</v>
      </c>
      <c r="P14" s="223"/>
      <c r="Q14" s="224">
        <v>2</v>
      </c>
      <c r="R14" s="224"/>
      <c r="S14" s="224"/>
      <c r="T14" s="225">
        <v>2</v>
      </c>
      <c r="U14" s="225"/>
      <c r="V14" s="225"/>
    </row>
    <row r="15" spans="2:38" ht="13.5" customHeight="1" x14ac:dyDescent="0.25">
      <c r="E15" s="194" t="s">
        <v>64</v>
      </c>
      <c r="F15" s="194"/>
      <c r="G15" s="194"/>
      <c r="H15" s="195">
        <v>10</v>
      </c>
      <c r="I15" s="195"/>
      <c r="J15" s="195"/>
      <c r="O15" s="210" t="s">
        <v>53</v>
      </c>
      <c r="P15" s="210"/>
      <c r="Q15" s="211">
        <f>SUM(Q10:S14)</f>
        <v>9</v>
      </c>
      <c r="R15" s="211"/>
      <c r="S15" s="211"/>
      <c r="T15" s="212">
        <f>SUM(T10:V14)</f>
        <v>10</v>
      </c>
      <c r="U15" s="212"/>
      <c r="V15" s="212"/>
    </row>
    <row r="16" spans="2:38" x14ac:dyDescent="0.25">
      <c r="E16" s="194"/>
      <c r="F16" s="194"/>
      <c r="G16" s="194"/>
      <c r="H16" s="195"/>
      <c r="I16" s="195"/>
      <c r="J16" s="195"/>
    </row>
    <row r="17" spans="2:22" ht="14.25" customHeight="1" x14ac:dyDescent="0.25"/>
    <row r="18" spans="2:22" x14ac:dyDescent="0.25">
      <c r="E18" s="213" t="s">
        <v>18</v>
      </c>
      <c r="F18" s="213"/>
      <c r="G18" s="213"/>
      <c r="H18" s="214">
        <f>1-H19</f>
        <v>0.6</v>
      </c>
      <c r="I18" s="214"/>
      <c r="J18" s="214"/>
    </row>
    <row r="19" spans="2:22" x14ac:dyDescent="0.25">
      <c r="E19" s="215" t="s">
        <v>55</v>
      </c>
      <c r="F19" s="215"/>
      <c r="G19" s="215"/>
      <c r="H19" s="216">
        <f>H13/(H15*COUNT(H9:J12))</f>
        <v>0.4</v>
      </c>
      <c r="I19" s="216"/>
      <c r="J19" s="216"/>
    </row>
    <row r="22" spans="2:22" x14ac:dyDescent="0.25">
      <c r="B22" s="78" t="s">
        <v>65</v>
      </c>
      <c r="C22" s="97">
        <v>1</v>
      </c>
      <c r="D22" s="98">
        <v>2</v>
      </c>
      <c r="E22" s="98">
        <v>3</v>
      </c>
      <c r="F22" s="98">
        <v>4</v>
      </c>
      <c r="G22" s="98">
        <v>5</v>
      </c>
      <c r="H22" s="98">
        <v>6</v>
      </c>
      <c r="I22" s="98">
        <v>7</v>
      </c>
      <c r="J22" s="99">
        <v>8</v>
      </c>
    </row>
    <row r="23" spans="2:22" x14ac:dyDescent="0.25">
      <c r="B23" s="100" t="s">
        <v>68</v>
      </c>
      <c r="C23" s="217">
        <v>2</v>
      </c>
      <c r="D23" s="217"/>
      <c r="E23" s="101"/>
      <c r="F23" s="101"/>
      <c r="G23" s="202">
        <v>1</v>
      </c>
      <c r="H23" s="202"/>
      <c r="I23" s="202"/>
      <c r="J23" s="102"/>
    </row>
    <row r="24" spans="2:22" x14ac:dyDescent="0.25">
      <c r="B24" s="100" t="s">
        <v>69</v>
      </c>
      <c r="C24" s="22"/>
      <c r="D24" s="35"/>
      <c r="E24" s="35"/>
      <c r="F24" s="35"/>
      <c r="G24" s="35"/>
      <c r="H24" s="86">
        <v>2</v>
      </c>
      <c r="I24" s="226">
        <v>3</v>
      </c>
      <c r="J24" s="226"/>
    </row>
    <row r="25" spans="2:22" x14ac:dyDescent="0.25">
      <c r="B25" s="103" t="s">
        <v>41</v>
      </c>
      <c r="C25" s="219">
        <v>1</v>
      </c>
      <c r="D25" s="219"/>
      <c r="E25" s="5">
        <v>3</v>
      </c>
      <c r="F25" s="5"/>
      <c r="G25" s="5"/>
      <c r="H25" s="227">
        <v>4</v>
      </c>
      <c r="I25" s="227"/>
      <c r="J25" s="227"/>
    </row>
    <row r="26" spans="2:22" x14ac:dyDescent="0.25">
      <c r="B26" s="103" t="s">
        <v>66</v>
      </c>
      <c r="C26" s="220">
        <v>4</v>
      </c>
      <c r="D26" s="220"/>
      <c r="E26" s="3">
        <v>1</v>
      </c>
      <c r="F26" s="3"/>
      <c r="G26" s="35"/>
      <c r="H26" s="87">
        <v>3</v>
      </c>
      <c r="I26" s="35"/>
      <c r="J26" s="23"/>
    </row>
    <row r="27" spans="2:22" x14ac:dyDescent="0.25">
      <c r="B27" s="104" t="s">
        <v>67</v>
      </c>
      <c r="C27" s="105"/>
      <c r="D27" s="89"/>
      <c r="E27" s="1">
        <v>2</v>
      </c>
      <c r="F27" s="1"/>
      <c r="G27" s="1"/>
      <c r="H27" s="89"/>
      <c r="I27" s="89"/>
      <c r="J27" s="31"/>
      <c r="K27" s="32"/>
      <c r="L27" s="32"/>
      <c r="M27" s="32"/>
      <c r="N27" s="32"/>
      <c r="O27" s="32"/>
      <c r="P27" s="32"/>
      <c r="Q27" s="32"/>
      <c r="R27" s="32"/>
      <c r="S27" s="32"/>
      <c r="T27" s="32"/>
    </row>
    <row r="28" spans="2:22" ht="13.5" customHeight="1" x14ac:dyDescent="0.25"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O28" s="181" t="s">
        <v>38</v>
      </c>
      <c r="P28" s="181"/>
      <c r="Q28" s="182" t="s">
        <v>62</v>
      </c>
      <c r="R28" s="182"/>
      <c r="S28" s="182"/>
      <c r="T28" s="183" t="s">
        <v>63</v>
      </c>
      <c r="U28" s="183"/>
      <c r="V28" s="183"/>
    </row>
    <row r="29" spans="2:22" x14ac:dyDescent="0.25">
      <c r="E29" s="221" t="str">
        <f>B22</f>
        <v>Departamento</v>
      </c>
      <c r="F29" s="221"/>
      <c r="G29" s="221"/>
      <c r="H29" s="180" t="s">
        <v>55</v>
      </c>
      <c r="I29" s="180"/>
      <c r="J29" s="180"/>
      <c r="O29" s="181"/>
      <c r="P29" s="181"/>
      <c r="Q29" s="182"/>
      <c r="R29" s="182"/>
      <c r="S29" s="182"/>
      <c r="T29" s="183"/>
      <c r="U29" s="183"/>
      <c r="V29" s="183"/>
    </row>
    <row r="30" spans="2:22" x14ac:dyDescent="0.25">
      <c r="E30" s="184" t="s">
        <v>68</v>
      </c>
      <c r="F30" s="184"/>
      <c r="G30" s="184"/>
      <c r="H30" s="185">
        <v>2</v>
      </c>
      <c r="I30" s="185"/>
      <c r="J30" s="185"/>
      <c r="O30" s="184">
        <v>1</v>
      </c>
      <c r="P30" s="184"/>
      <c r="Q30" s="188">
        <v>1</v>
      </c>
      <c r="R30" s="188"/>
      <c r="S30" s="188"/>
      <c r="T30" s="185">
        <v>2</v>
      </c>
      <c r="U30" s="185"/>
      <c r="V30" s="185"/>
    </row>
    <row r="31" spans="2:22" x14ac:dyDescent="0.25">
      <c r="E31" s="186" t="s">
        <v>69</v>
      </c>
      <c r="F31" s="186"/>
      <c r="G31" s="186"/>
      <c r="H31" s="187">
        <v>3</v>
      </c>
      <c r="I31" s="187"/>
      <c r="J31" s="187"/>
      <c r="O31" s="186">
        <v>2</v>
      </c>
      <c r="P31" s="186"/>
      <c r="Q31" s="191">
        <v>2</v>
      </c>
      <c r="R31" s="191"/>
      <c r="S31" s="191"/>
      <c r="T31" s="187">
        <v>2</v>
      </c>
      <c r="U31" s="187"/>
      <c r="V31" s="187"/>
    </row>
    <row r="32" spans="2:22" x14ac:dyDescent="0.25">
      <c r="E32" s="186" t="s">
        <v>41</v>
      </c>
      <c r="F32" s="186"/>
      <c r="G32" s="186"/>
      <c r="H32" s="187">
        <v>2</v>
      </c>
      <c r="I32" s="187"/>
      <c r="J32" s="187"/>
      <c r="O32" s="186">
        <v>3</v>
      </c>
      <c r="P32" s="186"/>
      <c r="Q32" s="191">
        <v>2</v>
      </c>
      <c r="R32" s="191"/>
      <c r="S32" s="191"/>
      <c r="T32" s="187">
        <v>2</v>
      </c>
      <c r="U32" s="187"/>
      <c r="V32" s="187"/>
    </row>
    <row r="33" spans="5:22" x14ac:dyDescent="0.25">
      <c r="E33" s="186" t="s">
        <v>66</v>
      </c>
      <c r="F33" s="186"/>
      <c r="G33" s="186"/>
      <c r="H33" s="187">
        <v>5</v>
      </c>
      <c r="I33" s="187"/>
      <c r="J33" s="187"/>
      <c r="O33" s="186">
        <v>4</v>
      </c>
      <c r="P33" s="186"/>
      <c r="Q33" s="191">
        <v>2</v>
      </c>
      <c r="R33" s="191"/>
      <c r="S33" s="191"/>
      <c r="T33" s="187">
        <v>2</v>
      </c>
      <c r="U33" s="187"/>
      <c r="V33" s="187"/>
    </row>
    <row r="34" spans="5:22" x14ac:dyDescent="0.25">
      <c r="E34" s="186" t="s">
        <v>67</v>
      </c>
      <c r="F34" s="186"/>
      <c r="G34" s="186"/>
      <c r="H34" s="187">
        <v>7</v>
      </c>
      <c r="I34" s="187"/>
      <c r="J34" s="187"/>
      <c r="O34" s="223">
        <v>5</v>
      </c>
      <c r="P34" s="223"/>
      <c r="Q34" s="224">
        <v>2</v>
      </c>
      <c r="R34" s="224"/>
      <c r="S34" s="224"/>
      <c r="T34" s="225">
        <v>2</v>
      </c>
      <c r="U34" s="225"/>
      <c r="V34" s="225"/>
    </row>
    <row r="35" spans="5:22" x14ac:dyDescent="0.25">
      <c r="E35" s="208" t="s">
        <v>53</v>
      </c>
      <c r="F35" s="208"/>
      <c r="G35" s="208"/>
      <c r="H35" s="222">
        <f>SUM(H30:J34)</f>
        <v>19</v>
      </c>
      <c r="I35" s="222"/>
      <c r="J35" s="222"/>
      <c r="O35" s="210" t="s">
        <v>53</v>
      </c>
      <c r="P35" s="210"/>
      <c r="Q35" s="211">
        <f>SUM(Q30:S34)</f>
        <v>9</v>
      </c>
      <c r="R35" s="211"/>
      <c r="S35" s="211"/>
      <c r="T35" s="212">
        <f>SUM(T30:V34)</f>
        <v>10</v>
      </c>
      <c r="U35" s="212"/>
      <c r="V35" s="212"/>
    </row>
    <row r="37" spans="5:22" ht="13.5" customHeight="1" x14ac:dyDescent="0.25">
      <c r="E37" s="194" t="s">
        <v>64</v>
      </c>
      <c r="F37" s="194"/>
      <c r="G37" s="194"/>
      <c r="H37" s="195">
        <v>8</v>
      </c>
      <c r="I37" s="195"/>
      <c r="J37" s="195"/>
    </row>
    <row r="38" spans="5:22" x14ac:dyDescent="0.25">
      <c r="E38" s="194"/>
      <c r="F38" s="194"/>
      <c r="G38" s="194"/>
      <c r="H38" s="195"/>
      <c r="I38" s="195"/>
      <c r="J38" s="195"/>
    </row>
    <row r="40" spans="5:22" x14ac:dyDescent="0.25">
      <c r="E40" s="213" t="s">
        <v>18</v>
      </c>
      <c r="F40" s="213"/>
      <c r="G40" s="213"/>
      <c r="H40" s="214">
        <f>1-H41</f>
        <v>0.52500000000000002</v>
      </c>
      <c r="I40" s="214"/>
      <c r="J40" s="214"/>
    </row>
    <row r="41" spans="5:22" x14ac:dyDescent="0.25">
      <c r="E41" s="215" t="s">
        <v>55</v>
      </c>
      <c r="F41" s="215"/>
      <c r="G41" s="215"/>
      <c r="H41" s="216">
        <f>H35/(H37*COUNT(H30:J34))</f>
        <v>0.47499999999999998</v>
      </c>
      <c r="I41" s="216"/>
      <c r="J41" s="216"/>
    </row>
  </sheetData>
  <mergeCells count="98">
    <mergeCell ref="E37:G38"/>
    <mergeCell ref="H37:J38"/>
    <mergeCell ref="E40:G40"/>
    <mergeCell ref="H40:J40"/>
    <mergeCell ref="E41:G41"/>
    <mergeCell ref="H41:J41"/>
    <mergeCell ref="E35:G35"/>
    <mergeCell ref="H35:J35"/>
    <mergeCell ref="O35:P35"/>
    <mergeCell ref="Q35:S35"/>
    <mergeCell ref="T35:V35"/>
    <mergeCell ref="E34:G34"/>
    <mergeCell ref="H34:J34"/>
    <mergeCell ref="O34:P34"/>
    <mergeCell ref="Q34:S34"/>
    <mergeCell ref="T34:V34"/>
    <mergeCell ref="E33:G33"/>
    <mergeCell ref="H33:J33"/>
    <mergeCell ref="O33:P33"/>
    <mergeCell ref="Q33:S33"/>
    <mergeCell ref="T33:V33"/>
    <mergeCell ref="E32:G32"/>
    <mergeCell ref="H32:J32"/>
    <mergeCell ref="O32:P32"/>
    <mergeCell ref="Q32:S32"/>
    <mergeCell ref="T32:V32"/>
    <mergeCell ref="E31:G31"/>
    <mergeCell ref="H31:J31"/>
    <mergeCell ref="O31:P31"/>
    <mergeCell ref="Q31:S31"/>
    <mergeCell ref="T31:V31"/>
    <mergeCell ref="E30:G30"/>
    <mergeCell ref="H30:J30"/>
    <mergeCell ref="O30:P30"/>
    <mergeCell ref="Q30:S30"/>
    <mergeCell ref="T30:V30"/>
    <mergeCell ref="E27:G27"/>
    <mergeCell ref="O28:P29"/>
    <mergeCell ref="Q28:S29"/>
    <mergeCell ref="T28:V29"/>
    <mergeCell ref="E29:G29"/>
    <mergeCell ref="H29:J29"/>
    <mergeCell ref="I24:J24"/>
    <mergeCell ref="C25:D25"/>
    <mergeCell ref="E25:G25"/>
    <mergeCell ref="H25:J25"/>
    <mergeCell ref="C26:D26"/>
    <mergeCell ref="E26:F26"/>
    <mergeCell ref="E18:G18"/>
    <mergeCell ref="H18:J18"/>
    <mergeCell ref="E19:G19"/>
    <mergeCell ref="H19:J19"/>
    <mergeCell ref="C23:D23"/>
    <mergeCell ref="G23:I23"/>
    <mergeCell ref="O14:P14"/>
    <mergeCell ref="Q14:S14"/>
    <mergeCell ref="T14:V14"/>
    <mergeCell ref="E15:G16"/>
    <mergeCell ref="H15:J16"/>
    <mergeCell ref="O15:P15"/>
    <mergeCell ref="Q15:S15"/>
    <mergeCell ref="T15:V15"/>
    <mergeCell ref="E13:G13"/>
    <mergeCell ref="H13:J13"/>
    <mergeCell ref="O13:P13"/>
    <mergeCell ref="Q13:S13"/>
    <mergeCell ref="T13:V13"/>
    <mergeCell ref="E12:G12"/>
    <mergeCell ref="H12:J12"/>
    <mergeCell ref="O12:P12"/>
    <mergeCell ref="Q12:S12"/>
    <mergeCell ref="T12:V12"/>
    <mergeCell ref="E11:G11"/>
    <mergeCell ref="H11:J11"/>
    <mergeCell ref="O11:P11"/>
    <mergeCell ref="Q11:S11"/>
    <mergeCell ref="T11:V11"/>
    <mergeCell ref="E10:G10"/>
    <mergeCell ref="H10:J10"/>
    <mergeCell ref="O10:P10"/>
    <mergeCell ref="Q10:S10"/>
    <mergeCell ref="T10:V10"/>
    <mergeCell ref="O8:P9"/>
    <mergeCell ref="Q8:S9"/>
    <mergeCell ref="T8:V9"/>
    <mergeCell ref="E9:G9"/>
    <mergeCell ref="H9:J9"/>
    <mergeCell ref="C5:D5"/>
    <mergeCell ref="E5:F5"/>
    <mergeCell ref="E6:G6"/>
    <mergeCell ref="E8:G8"/>
    <mergeCell ref="H8:J8"/>
    <mergeCell ref="C3:D3"/>
    <mergeCell ref="G3:I3"/>
    <mergeCell ref="K3:L3"/>
    <mergeCell ref="C4:D4"/>
    <mergeCell ref="E4:G4"/>
    <mergeCell ref="H4:J4"/>
  </mergeCells>
  <pageMargins left="0.7" right="0.7" top="0.75" bottom="0.75" header="0.511811023622047" footer="0.511811023622047"/>
  <pageSetup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2:AL56"/>
  <sheetViews>
    <sheetView showGridLines="0" topLeftCell="A17" zoomScale="75" zoomScaleNormal="75" workbookViewId="0">
      <selection activeCell="S30" sqref="S30"/>
    </sheetView>
  </sheetViews>
  <sheetFormatPr baseColWidth="10" defaultColWidth="10.7109375" defaultRowHeight="15" x14ac:dyDescent="0.25"/>
  <cols>
    <col min="1" max="1" width="3.5703125" customWidth="1"/>
    <col min="2" max="2" width="4.85546875" customWidth="1"/>
    <col min="3" max="38" width="3.5703125" customWidth="1"/>
  </cols>
  <sheetData>
    <row r="2" spans="2:38" x14ac:dyDescent="0.25">
      <c r="B2" s="78" t="s">
        <v>70</v>
      </c>
      <c r="C2" s="79">
        <v>1</v>
      </c>
      <c r="D2" s="16">
        <v>2</v>
      </c>
      <c r="E2" s="16">
        <v>3</v>
      </c>
      <c r="F2" s="16">
        <v>4</v>
      </c>
      <c r="G2" s="16">
        <v>5</v>
      </c>
      <c r="H2" s="16">
        <v>6</v>
      </c>
      <c r="I2" s="16">
        <v>7</v>
      </c>
      <c r="J2" s="16">
        <v>8</v>
      </c>
      <c r="K2" s="17">
        <v>9</v>
      </c>
    </row>
    <row r="3" spans="2:38" x14ac:dyDescent="0.25">
      <c r="B3" s="80" t="s">
        <v>45</v>
      </c>
      <c r="C3" s="228" t="s">
        <v>71</v>
      </c>
      <c r="D3" s="228"/>
      <c r="E3" s="82"/>
      <c r="F3" s="82"/>
      <c r="G3" s="201" t="s">
        <v>72</v>
      </c>
      <c r="H3" s="201"/>
      <c r="I3" s="229" t="s">
        <v>73</v>
      </c>
      <c r="J3" s="229"/>
      <c r="K3" s="106" t="s">
        <v>74</v>
      </c>
    </row>
    <row r="4" spans="2:38" x14ac:dyDescent="0.25">
      <c r="B4" s="84" t="s">
        <v>41</v>
      </c>
      <c r="C4" s="230" t="s">
        <v>72</v>
      </c>
      <c r="D4" s="230"/>
      <c r="E4" s="231" t="s">
        <v>73</v>
      </c>
      <c r="F4" s="231"/>
      <c r="G4" s="231"/>
      <c r="H4" s="108" t="s">
        <v>71</v>
      </c>
      <c r="I4" s="232" t="s">
        <v>74</v>
      </c>
      <c r="J4" s="232"/>
      <c r="K4" s="23"/>
    </row>
    <row r="5" spans="2:38" x14ac:dyDescent="0.25">
      <c r="B5" s="84" t="s">
        <v>66</v>
      </c>
      <c r="C5" s="233" t="s">
        <v>74</v>
      </c>
      <c r="D5" s="233"/>
      <c r="E5" s="234" t="s">
        <v>72</v>
      </c>
      <c r="F5" s="234"/>
      <c r="G5" s="35"/>
      <c r="H5" s="107" t="s">
        <v>73</v>
      </c>
      <c r="I5" s="35"/>
      <c r="J5" s="35"/>
      <c r="K5" s="23"/>
    </row>
    <row r="6" spans="2:38" x14ac:dyDescent="0.25">
      <c r="B6" s="88" t="s">
        <v>67</v>
      </c>
      <c r="C6" s="96"/>
      <c r="D6" s="89"/>
      <c r="E6" s="235" t="s">
        <v>71</v>
      </c>
      <c r="F6" s="235"/>
      <c r="G6" s="235"/>
      <c r="H6" s="89"/>
      <c r="I6" s="89"/>
      <c r="J6" s="89"/>
      <c r="K6" s="31"/>
    </row>
    <row r="7" spans="2:38" x14ac:dyDescent="0.25"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32"/>
      <c r="AH7" s="32"/>
      <c r="AI7" s="32"/>
      <c r="AJ7" s="32"/>
      <c r="AK7" s="32"/>
      <c r="AL7" s="32"/>
    </row>
    <row r="8" spans="2:38" ht="13.5" customHeight="1" x14ac:dyDescent="0.25">
      <c r="E8" s="179" t="s">
        <v>70</v>
      </c>
      <c r="F8" s="179"/>
      <c r="G8" s="179"/>
      <c r="H8" s="180" t="s">
        <v>55</v>
      </c>
      <c r="I8" s="180"/>
      <c r="J8" s="180"/>
      <c r="O8" s="181" t="s">
        <v>75</v>
      </c>
      <c r="P8" s="181"/>
      <c r="Q8" s="182" t="s">
        <v>62</v>
      </c>
      <c r="R8" s="182"/>
      <c r="S8" s="182"/>
      <c r="T8" s="183" t="s">
        <v>63</v>
      </c>
      <c r="U8" s="183"/>
      <c r="V8" s="183"/>
    </row>
    <row r="9" spans="2:38" x14ac:dyDescent="0.25">
      <c r="E9" s="184" t="s">
        <v>45</v>
      </c>
      <c r="F9" s="184"/>
      <c r="G9" s="184"/>
      <c r="H9" s="185">
        <v>2</v>
      </c>
      <c r="I9" s="185"/>
      <c r="J9" s="185"/>
      <c r="O9" s="181"/>
      <c r="P9" s="181"/>
      <c r="Q9" s="182"/>
      <c r="R9" s="182"/>
      <c r="S9" s="182"/>
      <c r="T9" s="183"/>
      <c r="U9" s="183"/>
      <c r="V9" s="183"/>
    </row>
    <row r="10" spans="2:38" x14ac:dyDescent="0.25">
      <c r="E10" s="186" t="s">
        <v>41</v>
      </c>
      <c r="F10" s="186"/>
      <c r="G10" s="186"/>
      <c r="H10" s="187">
        <v>1</v>
      </c>
      <c r="I10" s="187"/>
      <c r="J10" s="187"/>
      <c r="O10" s="184" t="s">
        <v>72</v>
      </c>
      <c r="P10" s="184"/>
      <c r="Q10" s="188">
        <v>0</v>
      </c>
      <c r="R10" s="188"/>
      <c r="S10" s="188"/>
      <c r="T10" s="185">
        <v>6</v>
      </c>
      <c r="U10" s="185"/>
      <c r="V10" s="185"/>
    </row>
    <row r="11" spans="2:38" x14ac:dyDescent="0.25">
      <c r="E11" s="186" t="s">
        <v>66</v>
      </c>
      <c r="F11" s="186"/>
      <c r="G11" s="186"/>
      <c r="H11" s="187">
        <v>4</v>
      </c>
      <c r="I11" s="187"/>
      <c r="J11" s="187"/>
      <c r="O11" s="186" t="s">
        <v>71</v>
      </c>
      <c r="P11" s="186"/>
      <c r="Q11" s="191">
        <v>0</v>
      </c>
      <c r="R11" s="191"/>
      <c r="S11" s="191"/>
      <c r="T11" s="187">
        <v>6</v>
      </c>
      <c r="U11" s="187"/>
      <c r="V11" s="187"/>
    </row>
    <row r="12" spans="2:38" x14ac:dyDescent="0.25">
      <c r="E12" s="186" t="s">
        <v>67</v>
      </c>
      <c r="F12" s="186"/>
      <c r="G12" s="186"/>
      <c r="H12" s="187">
        <v>6</v>
      </c>
      <c r="I12" s="187"/>
      <c r="J12" s="187"/>
      <c r="O12" s="186" t="s">
        <v>73</v>
      </c>
      <c r="P12" s="186"/>
      <c r="Q12" s="191">
        <v>2</v>
      </c>
      <c r="R12" s="191"/>
      <c r="S12" s="191"/>
      <c r="T12" s="187">
        <v>8</v>
      </c>
      <c r="U12" s="187"/>
      <c r="V12" s="187"/>
    </row>
    <row r="13" spans="2:38" x14ac:dyDescent="0.25">
      <c r="E13" s="208" t="s">
        <v>53</v>
      </c>
      <c r="F13" s="208"/>
      <c r="G13" s="208"/>
      <c r="H13" s="222">
        <f>SUM(H9:J12)</f>
        <v>13</v>
      </c>
      <c r="I13" s="222"/>
      <c r="J13" s="222"/>
      <c r="O13" s="186" t="s">
        <v>74</v>
      </c>
      <c r="P13" s="186"/>
      <c r="Q13" s="191">
        <v>4</v>
      </c>
      <c r="R13" s="191"/>
      <c r="S13" s="191"/>
      <c r="T13" s="187">
        <v>9</v>
      </c>
      <c r="U13" s="187"/>
      <c r="V13" s="187"/>
    </row>
    <row r="14" spans="2:38" x14ac:dyDescent="0.25">
      <c r="O14" s="210" t="s">
        <v>53</v>
      </c>
      <c r="P14" s="210"/>
      <c r="Q14" s="211">
        <f>SUM(Q10:S13)</f>
        <v>6</v>
      </c>
      <c r="R14" s="211"/>
      <c r="S14" s="211"/>
      <c r="T14" s="212">
        <f>SUM(T10:V13)</f>
        <v>29</v>
      </c>
      <c r="U14" s="212"/>
      <c r="V14" s="212"/>
    </row>
    <row r="15" spans="2:38" ht="13.5" customHeight="1" x14ac:dyDescent="0.25">
      <c r="E15" s="194" t="s">
        <v>64</v>
      </c>
      <c r="F15" s="194"/>
      <c r="G15" s="194"/>
      <c r="H15" s="195">
        <v>9</v>
      </c>
      <c r="I15" s="195"/>
      <c r="J15" s="195"/>
    </row>
    <row r="16" spans="2:38" x14ac:dyDescent="0.25">
      <c r="E16" s="194"/>
      <c r="F16" s="194"/>
      <c r="G16" s="194"/>
      <c r="H16" s="195"/>
      <c r="I16" s="195"/>
      <c r="J16" s="195"/>
    </row>
    <row r="18" spans="2:12" x14ac:dyDescent="0.25">
      <c r="E18" s="213" t="s">
        <v>18</v>
      </c>
      <c r="F18" s="213"/>
      <c r="G18" s="213"/>
      <c r="H18" s="214">
        <f>1-H19</f>
        <v>0.63888888888888884</v>
      </c>
      <c r="I18" s="214"/>
      <c r="J18" s="214"/>
    </row>
    <row r="19" spans="2:12" ht="14.25" customHeight="1" x14ac:dyDescent="0.25">
      <c r="E19" s="215" t="s">
        <v>55</v>
      </c>
      <c r="F19" s="215"/>
      <c r="G19" s="215"/>
      <c r="H19" s="216">
        <f>H13/(H15*COUNT(H9:J12))</f>
        <v>0.3611111111111111</v>
      </c>
      <c r="I19" s="216"/>
      <c r="J19" s="216"/>
    </row>
    <row r="21" spans="2:12" x14ac:dyDescent="0.25">
      <c r="B21" t="s">
        <v>76</v>
      </c>
    </row>
    <row r="23" spans="2:12" x14ac:dyDescent="0.25">
      <c r="B23" s="78" t="s">
        <v>70</v>
      </c>
      <c r="C23" s="97">
        <v>1</v>
      </c>
      <c r="D23" s="98">
        <v>2</v>
      </c>
      <c r="E23" s="98">
        <v>3</v>
      </c>
      <c r="F23" s="98">
        <v>4</v>
      </c>
      <c r="G23" s="98">
        <v>5</v>
      </c>
      <c r="H23" s="98">
        <v>6</v>
      </c>
      <c r="I23" s="98">
        <v>7</v>
      </c>
      <c r="J23" s="98">
        <v>8</v>
      </c>
      <c r="K23" s="99">
        <v>9</v>
      </c>
    </row>
    <row r="24" spans="2:12" x14ac:dyDescent="0.25">
      <c r="B24" s="100" t="s">
        <v>68</v>
      </c>
      <c r="C24" s="228">
        <v>2</v>
      </c>
      <c r="D24" s="228"/>
      <c r="E24" s="101"/>
      <c r="F24" s="101"/>
      <c r="G24" s="201">
        <v>1</v>
      </c>
      <c r="H24" s="201"/>
      <c r="I24" s="236">
        <v>3</v>
      </c>
      <c r="J24" s="236"/>
      <c r="K24" s="109">
        <v>4</v>
      </c>
    </row>
    <row r="25" spans="2:12" x14ac:dyDescent="0.25">
      <c r="B25" s="100" t="s">
        <v>69</v>
      </c>
      <c r="C25" s="110"/>
      <c r="D25" s="92"/>
      <c r="E25" s="82"/>
      <c r="F25" s="82"/>
      <c r="G25" s="92"/>
      <c r="H25" s="92"/>
      <c r="I25" s="92"/>
      <c r="J25" s="92"/>
      <c r="K25" s="20"/>
    </row>
    <row r="26" spans="2:12" x14ac:dyDescent="0.25">
      <c r="B26" s="103" t="s">
        <v>41</v>
      </c>
      <c r="C26" s="230">
        <v>1</v>
      </c>
      <c r="D26" s="230"/>
      <c r="E26" s="6">
        <v>3</v>
      </c>
      <c r="F26" s="6"/>
      <c r="G26" s="6"/>
      <c r="H26" s="108">
        <v>2</v>
      </c>
      <c r="I26" s="232">
        <v>4</v>
      </c>
      <c r="J26" s="232"/>
      <c r="K26" s="23"/>
    </row>
    <row r="27" spans="2:12" x14ac:dyDescent="0.25">
      <c r="B27" s="103" t="s">
        <v>66</v>
      </c>
      <c r="C27" s="233">
        <v>4</v>
      </c>
      <c r="D27" s="233"/>
      <c r="E27" s="234">
        <v>1</v>
      </c>
      <c r="F27" s="234"/>
      <c r="G27" s="35"/>
      <c r="H27" s="86">
        <v>3</v>
      </c>
      <c r="I27" s="35"/>
      <c r="J27" s="35"/>
      <c r="K27" s="23"/>
    </row>
    <row r="28" spans="2:12" x14ac:dyDescent="0.25">
      <c r="B28" s="104" t="s">
        <v>67</v>
      </c>
      <c r="C28" s="105"/>
      <c r="D28" s="89"/>
      <c r="E28" s="235">
        <v>2</v>
      </c>
      <c r="F28" s="235"/>
      <c r="G28" s="235"/>
      <c r="H28" s="89"/>
      <c r="I28" s="89"/>
      <c r="J28" s="89"/>
      <c r="K28" s="31"/>
      <c r="L28" s="32"/>
    </row>
    <row r="29" spans="2:12" x14ac:dyDescent="0.25">
      <c r="B29" s="111"/>
      <c r="C29" s="32"/>
      <c r="D29" s="32"/>
      <c r="E29" s="32"/>
      <c r="F29" s="32"/>
      <c r="G29" s="32"/>
      <c r="H29" s="32"/>
      <c r="I29" s="32"/>
      <c r="J29" s="32"/>
      <c r="K29" s="32"/>
      <c r="L29" s="32"/>
    </row>
    <row r="30" spans="2:12" ht="13.5" customHeight="1" x14ac:dyDescent="0.25">
      <c r="B30" s="111"/>
      <c r="C30" s="194" t="s">
        <v>64</v>
      </c>
      <c r="D30" s="194"/>
      <c r="E30" s="194"/>
      <c r="F30" s="195">
        <v>9</v>
      </c>
      <c r="G30" s="195"/>
      <c r="H30" s="195"/>
      <c r="I30" s="32"/>
      <c r="J30" s="32"/>
      <c r="K30" s="32"/>
      <c r="L30" s="32"/>
    </row>
    <row r="31" spans="2:12" x14ac:dyDescent="0.25">
      <c r="B31" s="111"/>
      <c r="C31" s="194"/>
      <c r="D31" s="194"/>
      <c r="E31" s="194"/>
      <c r="F31" s="195"/>
      <c r="G31" s="195"/>
      <c r="H31" s="195"/>
      <c r="I31" s="32"/>
      <c r="J31" s="32"/>
      <c r="K31" s="32"/>
      <c r="L31" s="32"/>
    </row>
    <row r="32" spans="2:12" x14ac:dyDescent="0.25">
      <c r="B32" s="111"/>
      <c r="C32" s="32"/>
      <c r="D32" s="32"/>
      <c r="E32" s="32"/>
      <c r="F32" s="32"/>
      <c r="G32" s="32"/>
      <c r="H32" s="32"/>
      <c r="I32" s="32"/>
      <c r="J32" s="32"/>
      <c r="K32" s="32"/>
      <c r="L32" s="32"/>
    </row>
    <row r="33" spans="2:12" x14ac:dyDescent="0.25">
      <c r="B33" t="s">
        <v>77</v>
      </c>
      <c r="C33" s="32"/>
      <c r="D33" s="32"/>
      <c r="E33" s="32"/>
      <c r="F33" s="32"/>
      <c r="G33" s="32"/>
      <c r="H33" s="32"/>
      <c r="I33" s="32"/>
      <c r="J33" s="32"/>
      <c r="K33" s="32"/>
      <c r="L33" s="32"/>
    </row>
    <row r="34" spans="2:12" x14ac:dyDescent="0.25">
      <c r="B34" s="32"/>
      <c r="C34" s="32"/>
      <c r="D34" s="32"/>
      <c r="E34" s="32"/>
      <c r="F34" s="32"/>
      <c r="G34" s="32"/>
      <c r="H34" s="32"/>
      <c r="I34" s="32"/>
      <c r="J34" s="32"/>
      <c r="K34" s="32"/>
    </row>
    <row r="35" spans="2:12" x14ac:dyDescent="0.25">
      <c r="B35" s="78" t="s">
        <v>70</v>
      </c>
      <c r="C35" s="97">
        <v>1</v>
      </c>
      <c r="D35" s="98">
        <v>2</v>
      </c>
      <c r="E35" s="98">
        <v>3</v>
      </c>
      <c r="F35" s="98">
        <v>4</v>
      </c>
      <c r="G35" s="98">
        <v>5</v>
      </c>
      <c r="H35" s="98">
        <v>6</v>
      </c>
      <c r="I35" s="98">
        <v>7</v>
      </c>
      <c r="J35" s="98">
        <v>8</v>
      </c>
      <c r="K35" s="99">
        <v>9</v>
      </c>
    </row>
    <row r="36" spans="2:12" x14ac:dyDescent="0.25">
      <c r="B36" s="100" t="s">
        <v>68</v>
      </c>
      <c r="C36" s="228">
        <v>2</v>
      </c>
      <c r="D36" s="228"/>
      <c r="E36" s="101"/>
      <c r="F36" s="101"/>
      <c r="G36" s="201">
        <v>1</v>
      </c>
      <c r="H36" s="201"/>
      <c r="I36" s="236">
        <v>3</v>
      </c>
      <c r="J36" s="236"/>
      <c r="K36" s="109">
        <v>4</v>
      </c>
    </row>
    <row r="37" spans="2:12" x14ac:dyDescent="0.25">
      <c r="B37" s="100" t="s">
        <v>78</v>
      </c>
      <c r="C37" s="230">
        <v>1</v>
      </c>
      <c r="D37" s="230"/>
      <c r="E37" s="232">
        <v>4</v>
      </c>
      <c r="F37" s="232"/>
      <c r="G37" s="92"/>
      <c r="H37" s="81">
        <v>2</v>
      </c>
      <c r="I37" s="92"/>
      <c r="J37" s="92"/>
      <c r="K37" s="20"/>
    </row>
    <row r="38" spans="2:12" x14ac:dyDescent="0.25">
      <c r="B38" s="103" t="s">
        <v>79</v>
      </c>
      <c r="C38" s="237">
        <v>3</v>
      </c>
      <c r="D38" s="237"/>
      <c r="E38" s="237"/>
      <c r="F38" s="112"/>
      <c r="G38" s="112"/>
      <c r="H38" s="35"/>
      <c r="I38" s="112"/>
      <c r="J38" s="112"/>
      <c r="K38" s="23"/>
    </row>
    <row r="39" spans="2:12" x14ac:dyDescent="0.25">
      <c r="B39" s="103" t="s">
        <v>66</v>
      </c>
      <c r="C39" s="233">
        <v>4</v>
      </c>
      <c r="D39" s="233"/>
      <c r="E39" s="234">
        <v>1</v>
      </c>
      <c r="F39" s="234"/>
      <c r="G39" s="86">
        <v>3</v>
      </c>
      <c r="H39" s="35"/>
      <c r="I39" s="35"/>
      <c r="J39" s="35"/>
      <c r="K39" s="23"/>
    </row>
    <row r="40" spans="2:12" x14ac:dyDescent="0.25">
      <c r="B40" s="104" t="s">
        <v>67</v>
      </c>
      <c r="C40" s="105"/>
      <c r="D40" s="89"/>
      <c r="E40" s="235">
        <v>2</v>
      </c>
      <c r="F40" s="235"/>
      <c r="G40" s="235"/>
      <c r="H40" s="89"/>
      <c r="I40" s="89"/>
      <c r="J40" s="89"/>
      <c r="K40" s="31"/>
    </row>
    <row r="41" spans="2:12" x14ac:dyDescent="0.25">
      <c r="B41" s="111"/>
      <c r="C41" s="32"/>
      <c r="D41" s="32"/>
      <c r="E41" s="32"/>
      <c r="F41" s="32"/>
      <c r="G41" s="32"/>
      <c r="H41" s="32"/>
      <c r="I41" s="32"/>
      <c r="J41" s="32"/>
      <c r="K41" s="32"/>
    </row>
    <row r="42" spans="2:12" ht="13.5" customHeight="1" x14ac:dyDescent="0.25">
      <c r="B42" s="111"/>
      <c r="C42" s="194" t="s">
        <v>64</v>
      </c>
      <c r="D42" s="194"/>
      <c r="E42" s="194"/>
      <c r="F42" s="195">
        <v>9</v>
      </c>
      <c r="G42" s="195"/>
      <c r="H42" s="195"/>
      <c r="I42" s="32"/>
      <c r="J42" s="32"/>
      <c r="K42" s="32"/>
    </row>
    <row r="43" spans="2:12" x14ac:dyDescent="0.25">
      <c r="B43" s="111"/>
      <c r="C43" s="194"/>
      <c r="D43" s="194"/>
      <c r="E43" s="194"/>
      <c r="F43" s="195"/>
      <c r="G43" s="195"/>
      <c r="H43" s="195"/>
      <c r="I43" s="32"/>
      <c r="J43" s="32"/>
      <c r="K43" s="32"/>
    </row>
    <row r="45" spans="2:12" x14ac:dyDescent="0.25">
      <c r="B45" t="s">
        <v>80</v>
      </c>
    </row>
    <row r="47" spans="2:12" x14ac:dyDescent="0.25">
      <c r="B47" s="78" t="s">
        <v>70</v>
      </c>
      <c r="C47" s="97">
        <v>1</v>
      </c>
      <c r="D47" s="98">
        <v>2</v>
      </c>
      <c r="E47" s="98">
        <v>3</v>
      </c>
      <c r="F47" s="98">
        <v>4</v>
      </c>
      <c r="G47" s="98">
        <v>5</v>
      </c>
      <c r="H47" s="98">
        <v>6</v>
      </c>
      <c r="I47" s="99">
        <v>7</v>
      </c>
    </row>
    <row r="48" spans="2:12" x14ac:dyDescent="0.25">
      <c r="B48" s="100" t="s">
        <v>68</v>
      </c>
      <c r="C48" s="228">
        <v>2</v>
      </c>
      <c r="D48" s="228"/>
      <c r="E48" s="101"/>
      <c r="F48" s="101"/>
      <c r="G48" s="201">
        <v>1</v>
      </c>
      <c r="H48" s="201"/>
      <c r="I48" s="113"/>
    </row>
    <row r="49" spans="2:9" x14ac:dyDescent="0.25">
      <c r="B49" s="100" t="s">
        <v>69</v>
      </c>
      <c r="C49" s="22"/>
      <c r="D49" s="35"/>
      <c r="E49" s="35"/>
      <c r="F49" s="35"/>
      <c r="G49" s="93">
        <v>4</v>
      </c>
      <c r="H49" s="238">
        <v>3</v>
      </c>
      <c r="I49" s="238"/>
    </row>
    <row r="50" spans="2:9" x14ac:dyDescent="0.25">
      <c r="B50" s="100" t="s">
        <v>78</v>
      </c>
      <c r="C50" s="230">
        <v>1</v>
      </c>
      <c r="D50" s="230"/>
      <c r="E50" s="232">
        <v>4</v>
      </c>
      <c r="F50" s="232"/>
      <c r="G50" s="112"/>
      <c r="H50" s="108">
        <v>2</v>
      </c>
      <c r="I50" s="114"/>
    </row>
    <row r="51" spans="2:9" x14ac:dyDescent="0.25">
      <c r="B51" s="103" t="s">
        <v>79</v>
      </c>
      <c r="C51" s="237">
        <v>3</v>
      </c>
      <c r="D51" s="237"/>
      <c r="E51" s="237"/>
      <c r="F51" s="112"/>
      <c r="G51" s="112"/>
      <c r="H51" s="35"/>
      <c r="I51" s="114"/>
    </row>
    <row r="52" spans="2:9" x14ac:dyDescent="0.25">
      <c r="B52" s="103" t="s">
        <v>66</v>
      </c>
      <c r="C52" s="233">
        <v>4</v>
      </c>
      <c r="D52" s="233"/>
      <c r="E52" s="234">
        <v>1</v>
      </c>
      <c r="F52" s="234"/>
      <c r="G52" s="86">
        <v>3</v>
      </c>
      <c r="H52" s="35"/>
      <c r="I52" s="23"/>
    </row>
    <row r="53" spans="2:9" x14ac:dyDescent="0.25">
      <c r="B53" s="104" t="s">
        <v>67</v>
      </c>
      <c r="C53" s="105"/>
      <c r="D53" s="89"/>
      <c r="E53" s="235">
        <v>2</v>
      </c>
      <c r="F53" s="235"/>
      <c r="G53" s="235"/>
      <c r="H53" s="89"/>
      <c r="I53" s="31"/>
    </row>
    <row r="55" spans="2:9" ht="13.5" customHeight="1" x14ac:dyDescent="0.25">
      <c r="C55" s="194" t="s">
        <v>64</v>
      </c>
      <c r="D55" s="194"/>
      <c r="E55" s="194"/>
      <c r="F55" s="195">
        <v>7</v>
      </c>
      <c r="G55" s="195"/>
      <c r="H55" s="195"/>
    </row>
    <row r="56" spans="2:9" x14ac:dyDescent="0.25">
      <c r="C56" s="194"/>
      <c r="D56" s="194"/>
      <c r="E56" s="194"/>
      <c r="F56" s="195"/>
      <c r="G56" s="195"/>
      <c r="H56" s="195"/>
    </row>
  </sheetData>
  <mergeCells count="78">
    <mergeCell ref="E53:G53"/>
    <mergeCell ref="C55:E56"/>
    <mergeCell ref="F55:H56"/>
    <mergeCell ref="H49:I49"/>
    <mergeCell ref="C50:D50"/>
    <mergeCell ref="E50:F50"/>
    <mergeCell ref="C51:E51"/>
    <mergeCell ref="C52:D52"/>
    <mergeCell ref="E52:F52"/>
    <mergeCell ref="E40:G40"/>
    <mergeCell ref="C42:E43"/>
    <mergeCell ref="F42:H43"/>
    <mergeCell ref="C48:D48"/>
    <mergeCell ref="G48:H48"/>
    <mergeCell ref="I36:J36"/>
    <mergeCell ref="C37:D37"/>
    <mergeCell ref="E37:F37"/>
    <mergeCell ref="C38:E38"/>
    <mergeCell ref="C39:D39"/>
    <mergeCell ref="E39:F39"/>
    <mergeCell ref="E28:G28"/>
    <mergeCell ref="C30:E31"/>
    <mergeCell ref="F30:H31"/>
    <mergeCell ref="C36:D36"/>
    <mergeCell ref="G36:H36"/>
    <mergeCell ref="C26:D26"/>
    <mergeCell ref="E26:G26"/>
    <mergeCell ref="I26:J26"/>
    <mergeCell ref="C27:D27"/>
    <mergeCell ref="E27:F27"/>
    <mergeCell ref="E18:G18"/>
    <mergeCell ref="H18:J18"/>
    <mergeCell ref="E19:G19"/>
    <mergeCell ref="H19:J19"/>
    <mergeCell ref="C24:D24"/>
    <mergeCell ref="G24:H24"/>
    <mergeCell ref="I24:J24"/>
    <mergeCell ref="O14:P14"/>
    <mergeCell ref="Q14:S14"/>
    <mergeCell ref="T14:V14"/>
    <mergeCell ref="E15:G16"/>
    <mergeCell ref="H15:J16"/>
    <mergeCell ref="E13:G13"/>
    <mergeCell ref="H13:J13"/>
    <mergeCell ref="O13:P13"/>
    <mergeCell ref="Q13:S13"/>
    <mergeCell ref="T13:V13"/>
    <mergeCell ref="E12:G12"/>
    <mergeCell ref="H12:J12"/>
    <mergeCell ref="O12:P12"/>
    <mergeCell ref="Q12:S12"/>
    <mergeCell ref="T12:V12"/>
    <mergeCell ref="E11:G11"/>
    <mergeCell ref="H11:J11"/>
    <mergeCell ref="O11:P11"/>
    <mergeCell ref="Q11:S11"/>
    <mergeCell ref="T11:V11"/>
    <mergeCell ref="E10:G10"/>
    <mergeCell ref="H10:J10"/>
    <mergeCell ref="O10:P10"/>
    <mergeCell ref="Q10:S10"/>
    <mergeCell ref="T10:V10"/>
    <mergeCell ref="O8:P9"/>
    <mergeCell ref="Q8:S9"/>
    <mergeCell ref="T8:V9"/>
    <mergeCell ref="E9:G9"/>
    <mergeCell ref="H9:J9"/>
    <mergeCell ref="C5:D5"/>
    <mergeCell ref="E5:F5"/>
    <mergeCell ref="E6:G6"/>
    <mergeCell ref="E8:G8"/>
    <mergeCell ref="H8:J8"/>
    <mergeCell ref="C3:D3"/>
    <mergeCell ref="G3:H3"/>
    <mergeCell ref="I3:J3"/>
    <mergeCell ref="C4:D4"/>
    <mergeCell ref="E4:G4"/>
    <mergeCell ref="I4:J4"/>
  </mergeCells>
  <pageMargins left="0.7" right="0.7" top="0.75" bottom="0.75" header="0.511811023622047" footer="0.511811023622047"/>
  <pageSetup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2:AL23"/>
  <sheetViews>
    <sheetView showGridLines="0" zoomScale="75" zoomScaleNormal="75" workbookViewId="0"/>
  </sheetViews>
  <sheetFormatPr baseColWidth="10" defaultColWidth="10.7109375" defaultRowHeight="15" x14ac:dyDescent="0.25"/>
  <cols>
    <col min="1" max="1" width="3.5703125" customWidth="1"/>
    <col min="3" max="38" width="3.5703125" customWidth="1"/>
  </cols>
  <sheetData>
    <row r="2" spans="2:38" x14ac:dyDescent="0.25">
      <c r="B2" s="78" t="s">
        <v>37</v>
      </c>
      <c r="C2" s="79">
        <v>1</v>
      </c>
      <c r="D2" s="16">
        <v>2</v>
      </c>
      <c r="E2" s="16">
        <v>3</v>
      </c>
      <c r="F2" s="16">
        <v>4</v>
      </c>
      <c r="G2" s="16">
        <v>5</v>
      </c>
      <c r="H2" s="16">
        <v>6</v>
      </c>
      <c r="I2" s="16">
        <v>7</v>
      </c>
      <c r="J2" s="16">
        <v>8</v>
      </c>
      <c r="K2" s="16">
        <v>9</v>
      </c>
      <c r="L2" s="16">
        <v>10</v>
      </c>
      <c r="M2" s="16">
        <v>11</v>
      </c>
      <c r="N2" s="16">
        <v>12</v>
      </c>
      <c r="O2" s="16">
        <v>13</v>
      </c>
      <c r="P2" s="16">
        <v>14</v>
      </c>
      <c r="Q2" s="16">
        <v>15</v>
      </c>
      <c r="R2" s="16">
        <v>16</v>
      </c>
      <c r="S2" s="16">
        <v>17</v>
      </c>
      <c r="T2" s="16">
        <v>18</v>
      </c>
      <c r="U2" s="16">
        <v>19</v>
      </c>
      <c r="V2" s="16">
        <v>20</v>
      </c>
      <c r="W2" s="16">
        <v>21</v>
      </c>
      <c r="X2" s="16">
        <v>22</v>
      </c>
      <c r="Y2" s="16">
        <v>23</v>
      </c>
      <c r="Z2" s="16">
        <v>24</v>
      </c>
      <c r="AA2" s="16">
        <v>25</v>
      </c>
      <c r="AB2" s="16">
        <v>26</v>
      </c>
      <c r="AC2" s="16">
        <v>27</v>
      </c>
      <c r="AD2" s="16">
        <v>28</v>
      </c>
      <c r="AE2" s="16">
        <v>29</v>
      </c>
      <c r="AF2" s="16">
        <v>30</v>
      </c>
      <c r="AG2" s="16">
        <v>31</v>
      </c>
      <c r="AH2" s="16">
        <v>32</v>
      </c>
      <c r="AI2" s="16">
        <v>33</v>
      </c>
      <c r="AJ2" s="16">
        <v>34</v>
      </c>
      <c r="AK2" s="16">
        <v>35</v>
      </c>
      <c r="AL2" s="17">
        <v>36</v>
      </c>
    </row>
    <row r="3" spans="2:38" x14ac:dyDescent="0.25">
      <c r="B3" s="80" t="s">
        <v>45</v>
      </c>
      <c r="C3" s="115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2"/>
      <c r="U3" s="82"/>
      <c r="V3" s="82"/>
      <c r="W3" s="82"/>
      <c r="X3" s="82"/>
      <c r="Y3" s="82"/>
      <c r="Z3" s="82"/>
      <c r="AA3" s="82"/>
      <c r="AB3" s="82"/>
      <c r="AC3" s="82"/>
      <c r="AD3" s="82"/>
      <c r="AE3" s="82"/>
      <c r="AF3" s="82"/>
      <c r="AG3" s="82"/>
      <c r="AH3" s="82"/>
      <c r="AI3" s="82"/>
      <c r="AJ3" s="82"/>
      <c r="AK3" s="82"/>
      <c r="AL3" s="20"/>
    </row>
    <row r="4" spans="2:38" x14ac:dyDescent="0.25">
      <c r="B4" s="84" t="s">
        <v>41</v>
      </c>
      <c r="C4" s="8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35"/>
      <c r="AK4" s="35"/>
      <c r="AL4" s="23"/>
    </row>
    <row r="5" spans="2:38" x14ac:dyDescent="0.25">
      <c r="B5" s="84" t="s">
        <v>44</v>
      </c>
      <c r="C5" s="8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35"/>
      <c r="AK5" s="35"/>
      <c r="AL5" s="23"/>
    </row>
    <row r="6" spans="2:38" x14ac:dyDescent="0.25">
      <c r="B6" s="84" t="s">
        <v>43</v>
      </c>
      <c r="C6" s="8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  <c r="AH6" s="35"/>
      <c r="AI6" s="35"/>
      <c r="AJ6" s="35"/>
      <c r="AK6" s="35"/>
      <c r="AL6" s="23"/>
    </row>
    <row r="7" spans="2:38" x14ac:dyDescent="0.25">
      <c r="B7" s="84" t="s">
        <v>42</v>
      </c>
      <c r="C7" s="8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  <c r="AA7" s="35"/>
      <c r="AB7" s="35"/>
      <c r="AC7" s="35"/>
      <c r="AD7" s="35"/>
      <c r="AE7" s="35"/>
      <c r="AF7" s="35"/>
      <c r="AG7" s="35"/>
      <c r="AH7" s="35"/>
      <c r="AI7" s="35"/>
      <c r="AJ7" s="35"/>
      <c r="AK7" s="35"/>
      <c r="AL7" s="23"/>
    </row>
    <row r="8" spans="2:38" x14ac:dyDescent="0.25">
      <c r="B8" s="88" t="s">
        <v>56</v>
      </c>
      <c r="C8" s="96"/>
      <c r="D8" s="89"/>
      <c r="E8" s="89"/>
      <c r="F8" s="89"/>
      <c r="G8" s="89"/>
      <c r="H8" s="89"/>
      <c r="I8" s="89"/>
      <c r="J8" s="89"/>
      <c r="K8" s="89"/>
      <c r="L8" s="89"/>
      <c r="M8" s="89"/>
      <c r="N8" s="89"/>
      <c r="O8" s="89"/>
      <c r="P8" s="89"/>
      <c r="Q8" s="89"/>
      <c r="R8" s="89"/>
      <c r="S8" s="89"/>
      <c r="T8" s="89"/>
      <c r="U8" s="89"/>
      <c r="V8" s="89"/>
      <c r="W8" s="89"/>
      <c r="X8" s="89"/>
      <c r="Y8" s="89"/>
      <c r="Z8" s="89"/>
      <c r="AA8" s="89"/>
      <c r="AB8" s="89"/>
      <c r="AC8" s="89"/>
      <c r="AD8" s="89"/>
      <c r="AE8" s="89"/>
      <c r="AF8" s="89"/>
      <c r="AG8" s="89"/>
      <c r="AH8" s="89"/>
      <c r="AI8" s="89"/>
      <c r="AJ8" s="89"/>
      <c r="AK8" s="89"/>
      <c r="AL8" s="31"/>
    </row>
    <row r="9" spans="2:38" x14ac:dyDescent="0.25"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  <c r="AF9" s="32"/>
      <c r="AG9" s="32"/>
      <c r="AH9" s="32"/>
      <c r="AI9" s="32"/>
      <c r="AJ9" s="32"/>
      <c r="AK9" s="32"/>
      <c r="AL9" s="32"/>
    </row>
    <row r="10" spans="2:38" ht="13.5" customHeight="1" x14ac:dyDescent="0.25">
      <c r="E10" s="179" t="s">
        <v>37</v>
      </c>
      <c r="F10" s="179"/>
      <c r="G10" s="179"/>
      <c r="H10" s="180" t="s">
        <v>55</v>
      </c>
      <c r="I10" s="180"/>
      <c r="J10" s="180"/>
      <c r="O10" s="181" t="s">
        <v>38</v>
      </c>
      <c r="P10" s="181"/>
      <c r="Q10" s="182" t="s">
        <v>62</v>
      </c>
      <c r="R10" s="182"/>
      <c r="S10" s="182"/>
      <c r="T10" s="183" t="s">
        <v>63</v>
      </c>
      <c r="U10" s="183"/>
      <c r="V10" s="183"/>
    </row>
    <row r="11" spans="2:38" x14ac:dyDescent="0.25">
      <c r="E11" s="184" t="s">
        <v>45</v>
      </c>
      <c r="F11" s="184"/>
      <c r="G11" s="184"/>
      <c r="H11" s="185"/>
      <c r="I11" s="185"/>
      <c r="J11" s="185"/>
      <c r="O11" s="181"/>
      <c r="P11" s="181"/>
      <c r="Q11" s="182"/>
      <c r="R11" s="182"/>
      <c r="S11" s="182"/>
      <c r="T11" s="183"/>
      <c r="U11" s="183"/>
      <c r="V11" s="183"/>
    </row>
    <row r="12" spans="2:38" x14ac:dyDescent="0.25">
      <c r="E12" s="186" t="s">
        <v>41</v>
      </c>
      <c r="F12" s="186"/>
      <c r="G12" s="186"/>
      <c r="H12" s="187"/>
      <c r="I12" s="187"/>
      <c r="J12" s="187"/>
      <c r="O12" s="184">
        <v>1</v>
      </c>
      <c r="P12" s="184"/>
      <c r="Q12" s="188"/>
      <c r="R12" s="188"/>
      <c r="S12" s="188"/>
      <c r="T12" s="185"/>
      <c r="U12" s="185"/>
      <c r="V12" s="185"/>
    </row>
    <row r="13" spans="2:38" x14ac:dyDescent="0.25">
      <c r="E13" s="186" t="s">
        <v>44</v>
      </c>
      <c r="F13" s="186"/>
      <c r="G13" s="186"/>
      <c r="H13" s="187"/>
      <c r="I13" s="187"/>
      <c r="J13" s="187"/>
      <c r="O13" s="186">
        <v>2</v>
      </c>
      <c r="P13" s="186"/>
      <c r="Q13" s="191"/>
      <c r="R13" s="191"/>
      <c r="S13" s="191"/>
      <c r="T13" s="187"/>
      <c r="U13" s="187"/>
      <c r="V13" s="187"/>
    </row>
    <row r="14" spans="2:38" x14ac:dyDescent="0.25">
      <c r="E14" s="186" t="s">
        <v>43</v>
      </c>
      <c r="F14" s="186"/>
      <c r="G14" s="186"/>
      <c r="H14" s="187"/>
      <c r="I14" s="187"/>
      <c r="J14" s="187"/>
      <c r="O14" s="186">
        <v>3</v>
      </c>
      <c r="P14" s="186"/>
      <c r="Q14" s="191"/>
      <c r="R14" s="191"/>
      <c r="S14" s="191"/>
      <c r="T14" s="187"/>
      <c r="U14" s="187"/>
      <c r="V14" s="187"/>
    </row>
    <row r="15" spans="2:38" x14ac:dyDescent="0.25">
      <c r="E15" s="186" t="s">
        <v>42</v>
      </c>
      <c r="F15" s="186"/>
      <c r="G15" s="186"/>
      <c r="H15" s="187"/>
      <c r="I15" s="187"/>
      <c r="J15" s="187"/>
      <c r="O15" s="186">
        <v>4</v>
      </c>
      <c r="P15" s="186"/>
      <c r="Q15" s="191"/>
      <c r="R15" s="191"/>
      <c r="S15" s="191"/>
      <c r="T15" s="187"/>
      <c r="U15" s="187"/>
      <c r="V15" s="187"/>
    </row>
    <row r="16" spans="2:38" x14ac:dyDescent="0.25">
      <c r="E16" s="189" t="s">
        <v>56</v>
      </c>
      <c r="F16" s="189"/>
      <c r="G16" s="189"/>
      <c r="H16" s="190"/>
      <c r="I16" s="190"/>
      <c r="J16" s="190"/>
      <c r="O16" s="223">
        <v>5</v>
      </c>
      <c r="P16" s="223"/>
      <c r="Q16" s="224"/>
      <c r="R16" s="224"/>
      <c r="S16" s="224"/>
      <c r="T16" s="225"/>
      <c r="U16" s="225"/>
      <c r="V16" s="225"/>
    </row>
    <row r="17" spans="5:22" x14ac:dyDescent="0.25">
      <c r="E17" s="208" t="s">
        <v>53</v>
      </c>
      <c r="F17" s="208"/>
      <c r="G17" s="208"/>
      <c r="H17" s="222">
        <f>SUM(H11:J16)</f>
        <v>0</v>
      </c>
      <c r="I17" s="222"/>
      <c r="J17" s="222"/>
      <c r="O17" s="210" t="s">
        <v>53</v>
      </c>
      <c r="P17" s="210"/>
      <c r="Q17" s="211">
        <f>SUM(Q12:S16)</f>
        <v>0</v>
      </c>
      <c r="R17" s="211"/>
      <c r="S17" s="211"/>
      <c r="T17" s="212">
        <f>SUM(T12:V16)</f>
        <v>0</v>
      </c>
      <c r="U17" s="212"/>
      <c r="V17" s="212"/>
    </row>
    <row r="19" spans="5:22" ht="14.25" customHeight="1" x14ac:dyDescent="0.25">
      <c r="E19" s="194" t="s">
        <v>64</v>
      </c>
      <c r="F19" s="194"/>
      <c r="G19" s="194"/>
      <c r="H19" s="195"/>
      <c r="I19" s="195"/>
      <c r="J19" s="195"/>
    </row>
    <row r="20" spans="5:22" x14ac:dyDescent="0.25">
      <c r="E20" s="194"/>
      <c r="F20" s="194"/>
      <c r="G20" s="194"/>
      <c r="H20" s="195"/>
      <c r="I20" s="195"/>
      <c r="J20" s="195"/>
    </row>
    <row r="22" spans="5:22" x14ac:dyDescent="0.25">
      <c r="E22" s="213" t="s">
        <v>18</v>
      </c>
      <c r="F22" s="213"/>
      <c r="G22" s="213"/>
      <c r="H22" s="214" t="e">
        <f>1-H23</f>
        <v>#DIV/0!</v>
      </c>
      <c r="I22" s="214"/>
      <c r="J22" s="214"/>
    </row>
    <row r="23" spans="5:22" x14ac:dyDescent="0.25">
      <c r="E23" s="215" t="s">
        <v>55</v>
      </c>
      <c r="F23" s="215"/>
      <c r="G23" s="215"/>
      <c r="H23" s="216" t="e">
        <f>H17/(H19*COUNT(H11:J16))</f>
        <v>#DIV/0!</v>
      </c>
      <c r="I23" s="216"/>
      <c r="J23" s="216"/>
    </row>
  </sheetData>
  <mergeCells count="43">
    <mergeCell ref="E19:G20"/>
    <mergeCell ref="H19:J20"/>
    <mergeCell ref="E22:G22"/>
    <mergeCell ref="H22:J22"/>
    <mergeCell ref="E23:G23"/>
    <mergeCell ref="H23:J23"/>
    <mergeCell ref="E17:G17"/>
    <mergeCell ref="H17:J17"/>
    <mergeCell ref="O17:P17"/>
    <mergeCell ref="Q17:S17"/>
    <mergeCell ref="T17:V17"/>
    <mergeCell ref="E16:G16"/>
    <mergeCell ref="H16:J16"/>
    <mergeCell ref="O16:P16"/>
    <mergeCell ref="Q16:S16"/>
    <mergeCell ref="T16:V16"/>
    <mergeCell ref="E15:G15"/>
    <mergeCell ref="H15:J15"/>
    <mergeCell ref="O15:P15"/>
    <mergeCell ref="Q15:S15"/>
    <mergeCell ref="T15:V15"/>
    <mergeCell ref="E14:G14"/>
    <mergeCell ref="H14:J14"/>
    <mergeCell ref="O14:P14"/>
    <mergeCell ref="Q14:S14"/>
    <mergeCell ref="T14:V14"/>
    <mergeCell ref="E13:G13"/>
    <mergeCell ref="H13:J13"/>
    <mergeCell ref="O13:P13"/>
    <mergeCell ref="Q13:S13"/>
    <mergeCell ref="T13:V13"/>
    <mergeCell ref="E12:G12"/>
    <mergeCell ref="H12:J12"/>
    <mergeCell ref="O12:P12"/>
    <mergeCell ref="Q12:S12"/>
    <mergeCell ref="T12:V12"/>
    <mergeCell ref="E10:G10"/>
    <mergeCell ref="H10:J10"/>
    <mergeCell ref="O10:P11"/>
    <mergeCell ref="Q10:S11"/>
    <mergeCell ref="T10:V11"/>
    <mergeCell ref="E11:G11"/>
    <mergeCell ref="H11:J11"/>
  </mergeCells>
  <pageMargins left="0.7" right="0.7" top="0.75" bottom="0.75" header="0.511811023622047" footer="0.511811023622047"/>
  <pageSetup orientation="portrait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19"/>
  <sheetViews>
    <sheetView zoomScale="75" zoomScaleNormal="75" workbookViewId="0">
      <selection sqref="A1:N1"/>
    </sheetView>
  </sheetViews>
  <sheetFormatPr baseColWidth="10" defaultColWidth="11.5703125" defaultRowHeight="15" x14ac:dyDescent="0.25"/>
  <cols>
    <col min="1" max="1" width="5.140625" customWidth="1"/>
    <col min="2" max="2" width="10" customWidth="1"/>
    <col min="3" max="3" width="14.28515625" customWidth="1"/>
    <col min="4" max="4" width="8" customWidth="1"/>
    <col min="5" max="5" width="16" customWidth="1"/>
    <col min="6" max="6" width="12.28515625" customWidth="1"/>
    <col min="7" max="7" width="7.7109375" customWidth="1"/>
    <col min="9" max="9" width="10" style="32" customWidth="1"/>
    <col min="10" max="10" width="16" customWidth="1"/>
    <col min="11" max="11" width="17" customWidth="1"/>
    <col min="12" max="12" width="8.42578125" customWidth="1"/>
    <col min="13" max="13" width="10.7109375" customWidth="1"/>
    <col min="14" max="14" width="10.85546875" customWidth="1"/>
  </cols>
  <sheetData>
    <row r="1" spans="1:14" ht="15.75" x14ac:dyDescent="0.25">
      <c r="A1" s="239" t="s">
        <v>81</v>
      </c>
      <c r="B1" s="239"/>
      <c r="C1" s="239"/>
      <c r="D1" s="239"/>
      <c r="E1" s="239"/>
      <c r="F1" s="239"/>
      <c r="G1" s="239"/>
      <c r="H1" s="239"/>
      <c r="I1" s="239"/>
      <c r="J1" s="239"/>
      <c r="K1" s="239"/>
      <c r="L1" s="239"/>
      <c r="M1" s="239"/>
      <c r="N1" s="239"/>
    </row>
    <row r="2" spans="1:14" x14ac:dyDescent="0.25">
      <c r="C2" s="32">
        <v>5</v>
      </c>
      <c r="D2" s="32">
        <v>4</v>
      </c>
      <c r="E2" s="32">
        <v>3</v>
      </c>
      <c r="F2" s="32">
        <v>2</v>
      </c>
      <c r="I2" s="111" t="s">
        <v>82</v>
      </c>
      <c r="J2" s="116" t="s">
        <v>83</v>
      </c>
    </row>
    <row r="3" spans="1:14" s="32" customFormat="1" x14ac:dyDescent="0.25">
      <c r="B3" s="25" t="s">
        <v>38</v>
      </c>
      <c r="C3" s="25" t="s">
        <v>84</v>
      </c>
      <c r="D3" s="25" t="s">
        <v>85</v>
      </c>
      <c r="E3" s="25" t="s">
        <v>83</v>
      </c>
      <c r="F3" s="25" t="s">
        <v>86</v>
      </c>
      <c r="G3" s="25" t="s">
        <v>38</v>
      </c>
      <c r="I3" s="111" t="s">
        <v>87</v>
      </c>
      <c r="J3" s="111" t="s">
        <v>87</v>
      </c>
      <c r="K3" s="111" t="s">
        <v>88</v>
      </c>
      <c r="L3" s="111" t="s">
        <v>89</v>
      </c>
      <c r="M3" s="111" t="s">
        <v>90</v>
      </c>
      <c r="N3" s="111" t="s">
        <v>91</v>
      </c>
    </row>
    <row r="4" spans="1:14" x14ac:dyDescent="0.25">
      <c r="B4" s="25" t="s">
        <v>45</v>
      </c>
      <c r="C4" s="117">
        <v>6</v>
      </c>
      <c r="D4" s="117">
        <v>22</v>
      </c>
      <c r="E4" s="117">
        <v>1</v>
      </c>
      <c r="F4" s="40">
        <f t="shared" ref="F4:F9" si="0">D4/C4</f>
        <v>3.6666666666666665</v>
      </c>
      <c r="G4" s="25" t="s">
        <v>45</v>
      </c>
      <c r="I4" s="32">
        <v>1</v>
      </c>
      <c r="J4" s="118" t="str">
        <f t="shared" ref="J4:J9" si="1">INDEX($C$13:$F$18,I4,HLOOKUP($J$2,$C$12:$F$19,8))</f>
        <v>A</v>
      </c>
      <c r="K4" s="32">
        <f t="shared" ref="K4:K9" si="2">VLOOKUP(J4,Trabajo,2,0)</f>
        <v>6</v>
      </c>
      <c r="L4" s="32">
        <f>K4</f>
        <v>6</v>
      </c>
      <c r="M4" s="32">
        <f t="shared" ref="M4:M9" si="3">VLOOKUP(J4,Trabajo,3,0)</f>
        <v>22</v>
      </c>
      <c r="N4" s="111">
        <f t="shared" ref="N4:N9" si="4">IF(L4-M4&lt;0,0,L4-M4)</f>
        <v>0</v>
      </c>
    </row>
    <row r="5" spans="1:14" x14ac:dyDescent="0.25">
      <c r="B5" s="25" t="s">
        <v>41</v>
      </c>
      <c r="C5" s="117">
        <v>12</v>
      </c>
      <c r="D5" s="117">
        <v>14</v>
      </c>
      <c r="E5" s="117">
        <v>2</v>
      </c>
      <c r="F5" s="40">
        <f t="shared" si="0"/>
        <v>1.1666666666666667</v>
      </c>
      <c r="G5" s="25" t="s">
        <v>41</v>
      </c>
      <c r="I5" s="32">
        <v>2</v>
      </c>
      <c r="J5" s="118" t="str">
        <f t="shared" si="1"/>
        <v>B</v>
      </c>
      <c r="K5" s="32">
        <f t="shared" si="2"/>
        <v>12</v>
      </c>
      <c r="L5" s="32">
        <f>L4+K5</f>
        <v>18</v>
      </c>
      <c r="M5" s="32">
        <f t="shared" si="3"/>
        <v>14</v>
      </c>
      <c r="N5" s="111">
        <f t="shared" si="4"/>
        <v>4</v>
      </c>
    </row>
    <row r="6" spans="1:14" x14ac:dyDescent="0.25">
      <c r="B6" s="25" t="s">
        <v>44</v>
      </c>
      <c r="C6" s="117">
        <v>14</v>
      </c>
      <c r="D6" s="117">
        <v>30</v>
      </c>
      <c r="E6" s="117">
        <v>3</v>
      </c>
      <c r="F6" s="40">
        <f t="shared" si="0"/>
        <v>2.1428571428571428</v>
      </c>
      <c r="G6" s="25" t="s">
        <v>44</v>
      </c>
      <c r="I6" s="32">
        <v>3</v>
      </c>
      <c r="J6" s="118" t="str">
        <f t="shared" si="1"/>
        <v>C</v>
      </c>
      <c r="K6" s="32">
        <f t="shared" si="2"/>
        <v>14</v>
      </c>
      <c r="L6" s="32">
        <f>L5+K6</f>
        <v>32</v>
      </c>
      <c r="M6" s="32">
        <f t="shared" si="3"/>
        <v>30</v>
      </c>
      <c r="N6" s="111">
        <f t="shared" si="4"/>
        <v>2</v>
      </c>
    </row>
    <row r="7" spans="1:14" x14ac:dyDescent="0.25">
      <c r="B7" s="25" t="s">
        <v>43</v>
      </c>
      <c r="C7" s="117">
        <v>2</v>
      </c>
      <c r="D7" s="117">
        <v>18</v>
      </c>
      <c r="E7" s="117">
        <v>4</v>
      </c>
      <c r="F7" s="40">
        <f t="shared" si="0"/>
        <v>9</v>
      </c>
      <c r="G7" s="25" t="s">
        <v>43</v>
      </c>
      <c r="I7" s="32">
        <v>4</v>
      </c>
      <c r="J7" s="118" t="str">
        <f t="shared" si="1"/>
        <v>D</v>
      </c>
      <c r="K7" s="32">
        <f t="shared" si="2"/>
        <v>2</v>
      </c>
      <c r="L7" s="32">
        <f>L6+K7</f>
        <v>34</v>
      </c>
      <c r="M7" s="32">
        <f t="shared" si="3"/>
        <v>18</v>
      </c>
      <c r="N7" s="111">
        <f t="shared" si="4"/>
        <v>16</v>
      </c>
    </row>
    <row r="8" spans="1:14" x14ac:dyDescent="0.25">
      <c r="B8" s="25" t="s">
        <v>42</v>
      </c>
      <c r="C8" s="117">
        <v>10</v>
      </c>
      <c r="D8" s="117">
        <v>25</v>
      </c>
      <c r="E8" s="117">
        <v>5</v>
      </c>
      <c r="F8" s="40">
        <f t="shared" si="0"/>
        <v>2.5</v>
      </c>
      <c r="G8" s="25" t="s">
        <v>42</v>
      </c>
      <c r="I8" s="32">
        <v>5</v>
      </c>
      <c r="J8" s="118" t="str">
        <f t="shared" si="1"/>
        <v>E</v>
      </c>
      <c r="K8" s="32">
        <f t="shared" si="2"/>
        <v>10</v>
      </c>
      <c r="L8" s="32">
        <f>L7+K8</f>
        <v>44</v>
      </c>
      <c r="M8" s="32">
        <f t="shared" si="3"/>
        <v>25</v>
      </c>
      <c r="N8" s="111">
        <f t="shared" si="4"/>
        <v>19</v>
      </c>
    </row>
    <row r="9" spans="1:14" x14ac:dyDescent="0.25">
      <c r="B9" s="25" t="s">
        <v>56</v>
      </c>
      <c r="C9" s="117">
        <v>4</v>
      </c>
      <c r="D9" s="117">
        <v>34</v>
      </c>
      <c r="E9" s="117">
        <v>6</v>
      </c>
      <c r="F9" s="40">
        <f t="shared" si="0"/>
        <v>8.5</v>
      </c>
      <c r="G9" s="25" t="s">
        <v>56</v>
      </c>
      <c r="I9" s="32">
        <v>6</v>
      </c>
      <c r="J9" s="118" t="str">
        <f t="shared" si="1"/>
        <v>F</v>
      </c>
      <c r="K9" s="32">
        <f t="shared" si="2"/>
        <v>4</v>
      </c>
      <c r="L9" s="32">
        <f>L8+K9</f>
        <v>48</v>
      </c>
      <c r="M9" s="32">
        <f t="shared" si="3"/>
        <v>34</v>
      </c>
      <c r="N9" s="111">
        <f t="shared" si="4"/>
        <v>14</v>
      </c>
    </row>
    <row r="10" spans="1:14" x14ac:dyDescent="0.25">
      <c r="B10" s="119"/>
      <c r="C10" s="120"/>
      <c r="D10" s="120"/>
      <c r="E10" s="120"/>
      <c r="F10" s="121"/>
      <c r="G10" s="119"/>
      <c r="J10" s="111" t="s">
        <v>92</v>
      </c>
      <c r="K10" s="111">
        <f>SUM(K4:K9)</f>
        <v>48</v>
      </c>
      <c r="L10" s="111">
        <f>SUM(L4:L9)</f>
        <v>182</v>
      </c>
      <c r="M10" s="111" t="s">
        <v>93</v>
      </c>
      <c r="N10" s="111">
        <f>SUM(N4:N9)</f>
        <v>55</v>
      </c>
    </row>
    <row r="11" spans="1:14" x14ac:dyDescent="0.25">
      <c r="B11" s="111"/>
      <c r="C11" s="122"/>
      <c r="D11" s="122"/>
      <c r="E11" s="122"/>
      <c r="F11" s="122"/>
      <c r="G11" s="111"/>
    </row>
    <row r="12" spans="1:14" x14ac:dyDescent="0.25">
      <c r="B12" s="25" t="s">
        <v>38</v>
      </c>
      <c r="C12" s="25" t="s">
        <v>84</v>
      </c>
      <c r="D12" s="25" t="s">
        <v>85</v>
      </c>
      <c r="E12" s="25" t="s">
        <v>83</v>
      </c>
      <c r="F12" s="25" t="s">
        <v>86</v>
      </c>
      <c r="I12" s="123" t="s">
        <v>94</v>
      </c>
      <c r="J12" s="240" t="s">
        <v>95</v>
      </c>
      <c r="K12" s="240"/>
      <c r="L12" s="240"/>
      <c r="M12" s="240"/>
      <c r="N12" s="125">
        <f>L10/COUNTA(J4:J9)</f>
        <v>30.333333333333332</v>
      </c>
    </row>
    <row r="13" spans="1:14" x14ac:dyDescent="0.25">
      <c r="B13" s="126">
        <v>1</v>
      </c>
      <c r="C13" s="25" t="str">
        <f>VLOOKUP(SMALL(C$4:C$9,$B13),C$3:$G$9,C$2,0)</f>
        <v>D</v>
      </c>
      <c r="D13" s="25" t="str">
        <f>VLOOKUP(SMALL(D$4:D$9,$B13),D$3:$G$9,D$2,0)</f>
        <v>B</v>
      </c>
      <c r="E13" s="25" t="str">
        <f>VLOOKUP(SMALL(E$4:E$9,$B13),E$3:$G$9,E$2,0)</f>
        <v>A</v>
      </c>
      <c r="F13" s="25" t="str">
        <f>VLOOKUP(SMALL(F$4:F$9,$B13),F$3:$G$9,F$2,0)</f>
        <v>B</v>
      </c>
      <c r="I13" s="123" t="s">
        <v>96</v>
      </c>
      <c r="J13" s="240" t="s">
        <v>97</v>
      </c>
      <c r="K13" s="240"/>
      <c r="L13" s="240"/>
      <c r="M13" s="240"/>
      <c r="N13" s="125">
        <f>L10/K10</f>
        <v>3.7916666666666665</v>
      </c>
    </row>
    <row r="14" spans="1:14" x14ac:dyDescent="0.25">
      <c r="B14" s="126">
        <f>B13+1</f>
        <v>2</v>
      </c>
      <c r="C14" s="25" t="str">
        <f>VLOOKUP(SMALL(C$4:C$9,$B14),C$3:$G$9,C$2,0)</f>
        <v>F</v>
      </c>
      <c r="D14" s="25" t="str">
        <f>VLOOKUP(SMALL(D$4:D$9,$B14),D$3:$G$9,D$2,0)</f>
        <v>D</v>
      </c>
      <c r="E14" s="25" t="str">
        <f>VLOOKUP(SMALL(E$4:E$9,$B14),E$3:$G$9,E$2,0)</f>
        <v>B</v>
      </c>
      <c r="F14" s="25" t="str">
        <f>VLOOKUP(SMALL(F$4:F$9,$B14),F$3:$G$9,F$2,0)</f>
        <v>C</v>
      </c>
      <c r="I14" s="123" t="s">
        <v>98</v>
      </c>
      <c r="J14" s="240" t="s">
        <v>99</v>
      </c>
      <c r="K14" s="240"/>
      <c r="L14" s="240"/>
      <c r="M14" s="240"/>
      <c r="N14" s="125">
        <f>N10/COUNTA(J4:J9)</f>
        <v>9.1666666666666661</v>
      </c>
    </row>
    <row r="15" spans="1:14" x14ac:dyDescent="0.25">
      <c r="B15" s="126">
        <f>B14+1</f>
        <v>3</v>
      </c>
      <c r="C15" s="25" t="str">
        <f>VLOOKUP(SMALL(C$4:C$9,$B15),C$3:$G$9,C$2,0)</f>
        <v>A</v>
      </c>
      <c r="D15" s="25" t="str">
        <f>VLOOKUP(SMALL(D$4:D$9,$B15),D$3:$G$9,D$2,0)</f>
        <v>A</v>
      </c>
      <c r="E15" s="25" t="str">
        <f>VLOOKUP(SMALL(E$4:E$9,$B15),E$3:$G$9,E$2,0)</f>
        <v>C</v>
      </c>
      <c r="F15" s="25" t="str">
        <f>VLOOKUP(SMALL(F$4:F$9,$B15),F$3:$G$9,F$2,0)</f>
        <v>E</v>
      </c>
      <c r="I15" s="123" t="s">
        <v>100</v>
      </c>
      <c r="J15" s="240" t="s">
        <v>18</v>
      </c>
      <c r="K15" s="240"/>
      <c r="L15" s="240"/>
      <c r="M15" s="240"/>
      <c r="N15" s="127">
        <f>K10/L10</f>
        <v>0.26373626373626374</v>
      </c>
    </row>
    <row r="16" spans="1:14" x14ac:dyDescent="0.25">
      <c r="B16" s="126">
        <f>B15+1</f>
        <v>4</v>
      </c>
      <c r="C16" s="25" t="str">
        <f>VLOOKUP(SMALL(C$4:C$9,$B16),C$3:$G$9,C$2,0)</f>
        <v>E</v>
      </c>
      <c r="D16" s="25" t="str">
        <f>VLOOKUP(SMALL(D$4:D$9,$B16),D$3:$G$9,D$2,0)</f>
        <v>E</v>
      </c>
      <c r="E16" s="25" t="str">
        <f>VLOOKUP(SMALL(E$4:E$9,$B16),E$3:$G$9,E$2,0)</f>
        <v>D</v>
      </c>
      <c r="F16" s="25" t="str">
        <f>VLOOKUP(SMALL(F$4:F$9,$B16),F$3:$G$9,F$2,0)</f>
        <v>A</v>
      </c>
    </row>
    <row r="17" spans="2:6" x14ac:dyDescent="0.25">
      <c r="B17" s="126">
        <f>B16+1</f>
        <v>5</v>
      </c>
      <c r="C17" s="25" t="str">
        <f>VLOOKUP(SMALL(C$4:C$9,$B17),C$3:$G$9,C$2,0)</f>
        <v>B</v>
      </c>
      <c r="D17" s="25" t="str">
        <f>VLOOKUP(SMALL(D$4:D$9,$B17),D$3:$G$9,D$2,0)</f>
        <v>C</v>
      </c>
      <c r="E17" s="25" t="str">
        <f>VLOOKUP(SMALL(E$4:E$9,$B17),E$3:$G$9,E$2,0)</f>
        <v>E</v>
      </c>
      <c r="F17" s="25" t="str">
        <f>VLOOKUP(SMALL(F$4:F$9,$B17),F$3:$G$9,F$2,0)</f>
        <v>F</v>
      </c>
    </row>
    <row r="18" spans="2:6" x14ac:dyDescent="0.25">
      <c r="B18" s="126">
        <f>B17+1</f>
        <v>6</v>
      </c>
      <c r="C18" s="25" t="str">
        <f>VLOOKUP(SMALL(C$4:C$9,$B18),C$3:$G$9,C$2,0)</f>
        <v>C</v>
      </c>
      <c r="D18" s="25" t="str">
        <f>VLOOKUP(SMALL(D$4:D$9,$B18),D$3:$G$9,D$2,0)</f>
        <v>F</v>
      </c>
      <c r="E18" s="25" t="str">
        <f>VLOOKUP(SMALL(E$4:E$9,$B18),E$3:$G$9,E$2,0)</f>
        <v>F</v>
      </c>
      <c r="F18" s="25" t="str">
        <f>VLOOKUP(SMALL(F$4:F$9,$B18),F$3:$G$9,F$2,0)</f>
        <v>D</v>
      </c>
    </row>
    <row r="19" spans="2:6" x14ac:dyDescent="0.25">
      <c r="C19" s="32">
        <v>1</v>
      </c>
      <c r="D19" s="32">
        <v>2</v>
      </c>
      <c r="E19" s="32">
        <v>3</v>
      </c>
      <c r="F19" s="32">
        <v>4</v>
      </c>
    </row>
  </sheetData>
  <mergeCells count="5">
    <mergeCell ref="A1:N1"/>
    <mergeCell ref="J12:M12"/>
    <mergeCell ref="J13:M13"/>
    <mergeCell ref="J14:M14"/>
    <mergeCell ref="J15:M15"/>
  </mergeCells>
  <dataValidations count="1">
    <dataValidation type="list" operator="equal" allowBlank="1" showErrorMessage="1" sqref="J2" xr:uid="{00000000-0002-0000-0700-000000000000}">
      <formula1>"Procesamiento,Entrega,Orden de llegada,Razón crítica,"</formula1>
      <formula2>0</formula2>
    </dataValidation>
  </dataValidations>
  <pageMargins left="0.7" right="0.7" top="0.75" bottom="0.75" header="0.511811023622047" footer="0.511811023622047"/>
  <pageSetup paperSize="9" orientation="portrait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22"/>
  <sheetViews>
    <sheetView showGridLines="0" zoomScale="75" zoomScaleNormal="75" workbookViewId="0"/>
  </sheetViews>
  <sheetFormatPr baseColWidth="10" defaultColWidth="10.7109375" defaultRowHeight="15" x14ac:dyDescent="0.25"/>
  <cols>
    <col min="2" max="2" width="12.7109375" customWidth="1"/>
    <col min="3" max="3" width="18.28515625" customWidth="1"/>
    <col min="4" max="4" width="22" customWidth="1"/>
    <col min="5" max="5" width="18.42578125" customWidth="1"/>
    <col min="6" max="6" width="18.140625" customWidth="1"/>
    <col min="7" max="7" width="14.140625" customWidth="1"/>
  </cols>
  <sheetData>
    <row r="1" spans="1:8" ht="15.75" x14ac:dyDescent="0.25">
      <c r="A1" s="33" t="s">
        <v>101</v>
      </c>
    </row>
    <row r="3" spans="1:8" ht="18" x14ac:dyDescent="0.35">
      <c r="B3" s="78" t="s">
        <v>102</v>
      </c>
      <c r="C3" s="79" t="s">
        <v>103</v>
      </c>
      <c r="D3" s="16" t="s">
        <v>104</v>
      </c>
      <c r="E3" s="16" t="s">
        <v>105</v>
      </c>
      <c r="F3" s="16" t="s">
        <v>106</v>
      </c>
      <c r="G3" s="16" t="s">
        <v>107</v>
      </c>
      <c r="H3" s="17" t="s">
        <v>108</v>
      </c>
    </row>
    <row r="4" spans="1:8" x14ac:dyDescent="0.25">
      <c r="B4" s="80" t="s">
        <v>45</v>
      </c>
      <c r="C4" s="115">
        <v>1</v>
      </c>
      <c r="D4" s="82">
        <v>3</v>
      </c>
      <c r="E4" s="82">
        <v>6</v>
      </c>
      <c r="F4" s="128">
        <f t="shared" ref="F4:F9" si="0">(C4+(4*D4)+E4)/6</f>
        <v>3.1666666666666665</v>
      </c>
      <c r="G4" s="128">
        <f t="shared" ref="G4:G9" si="1">((E4-C4)/6)^2</f>
        <v>0.69444444444444453</v>
      </c>
      <c r="H4" s="20" t="s">
        <v>109</v>
      </c>
    </row>
    <row r="5" spans="1:8" x14ac:dyDescent="0.25">
      <c r="B5" s="84" t="s">
        <v>41</v>
      </c>
      <c r="C5" s="85">
        <v>2</v>
      </c>
      <c r="D5" s="35">
        <v>6</v>
      </c>
      <c r="E5" s="35">
        <v>10</v>
      </c>
      <c r="F5" s="129">
        <f t="shared" si="0"/>
        <v>6</v>
      </c>
      <c r="G5" s="129">
        <f t="shared" si="1"/>
        <v>1.7777777777777777</v>
      </c>
      <c r="H5" s="23" t="s">
        <v>110</v>
      </c>
    </row>
    <row r="6" spans="1:8" x14ac:dyDescent="0.25">
      <c r="B6" s="84" t="s">
        <v>44</v>
      </c>
      <c r="C6" s="85">
        <v>4</v>
      </c>
      <c r="D6" s="35">
        <v>6</v>
      </c>
      <c r="E6" s="35">
        <v>12</v>
      </c>
      <c r="F6" s="129">
        <f t="shared" si="0"/>
        <v>6.666666666666667</v>
      </c>
      <c r="G6" s="129">
        <f t="shared" si="1"/>
        <v>1.7777777777777777</v>
      </c>
      <c r="H6" s="23" t="s">
        <v>109</v>
      </c>
    </row>
    <row r="7" spans="1:8" x14ac:dyDescent="0.25">
      <c r="B7" s="84" t="s">
        <v>43</v>
      </c>
      <c r="C7" s="85">
        <v>6</v>
      </c>
      <c r="D7" s="35">
        <v>9</v>
      </c>
      <c r="E7" s="35">
        <v>15</v>
      </c>
      <c r="F7" s="129">
        <f t="shared" si="0"/>
        <v>9.5</v>
      </c>
      <c r="G7" s="129">
        <f t="shared" si="1"/>
        <v>2.25</v>
      </c>
      <c r="H7" s="23" t="s">
        <v>110</v>
      </c>
    </row>
    <row r="8" spans="1:8" x14ac:dyDescent="0.25">
      <c r="B8" s="84" t="s">
        <v>42</v>
      </c>
      <c r="C8" s="85">
        <v>7</v>
      </c>
      <c r="D8" s="35">
        <v>9</v>
      </c>
      <c r="E8" s="35">
        <v>16</v>
      </c>
      <c r="F8" s="129">
        <f t="shared" si="0"/>
        <v>9.8333333333333339</v>
      </c>
      <c r="G8" s="129">
        <f t="shared" si="1"/>
        <v>2.25</v>
      </c>
      <c r="H8" s="23" t="s">
        <v>109</v>
      </c>
    </row>
    <row r="9" spans="1:8" x14ac:dyDescent="0.25">
      <c r="B9" s="130" t="s">
        <v>56</v>
      </c>
      <c r="C9" s="131">
        <v>3</v>
      </c>
      <c r="D9" s="132">
        <v>6</v>
      </c>
      <c r="E9" s="132">
        <v>10</v>
      </c>
      <c r="F9" s="133">
        <f t="shared" si="0"/>
        <v>6.166666666666667</v>
      </c>
      <c r="G9" s="133">
        <f t="shared" si="1"/>
        <v>1.3611111111111114</v>
      </c>
      <c r="H9" s="134" t="s">
        <v>109</v>
      </c>
    </row>
    <row r="10" spans="1:8" x14ac:dyDescent="0.25">
      <c r="B10" s="135" t="s">
        <v>111</v>
      </c>
      <c r="C10" s="136"/>
      <c r="D10" s="137"/>
      <c r="E10" s="137"/>
      <c r="F10" s="138">
        <f>SUMIF($H$4:$H$9,"=Si",F4:F9)</f>
        <v>25.833333333333336</v>
      </c>
      <c r="G10" s="138">
        <f>SUMIF($H$4:$H$9,"=Si",G4:G9)</f>
        <v>6.0833333333333339</v>
      </c>
      <c r="H10" s="139"/>
    </row>
    <row r="12" spans="1:8" x14ac:dyDescent="0.25">
      <c r="B12" s="15" t="s">
        <v>112</v>
      </c>
      <c r="C12" s="17" t="s">
        <v>113</v>
      </c>
    </row>
    <row r="13" spans="1:8" x14ac:dyDescent="0.25">
      <c r="B13" s="90">
        <v>24</v>
      </c>
      <c r="C13" s="140">
        <f>NORMSDIST((B13-F10)/(G10)^(1/2))</f>
        <v>0.22864667150420576</v>
      </c>
    </row>
    <row r="16" spans="1:8" ht="15.75" x14ac:dyDescent="0.25">
      <c r="A16" s="33" t="s">
        <v>114</v>
      </c>
    </row>
    <row r="18" spans="2:7" x14ac:dyDescent="0.25">
      <c r="B18" s="78" t="s">
        <v>102</v>
      </c>
      <c r="C18" s="79" t="s">
        <v>115</v>
      </c>
      <c r="D18" s="16" t="s">
        <v>116</v>
      </c>
      <c r="E18" s="16" t="s">
        <v>117</v>
      </c>
      <c r="F18" s="141" t="s">
        <v>118</v>
      </c>
      <c r="G18" s="78" t="s">
        <v>119</v>
      </c>
    </row>
    <row r="19" spans="2:7" x14ac:dyDescent="0.25">
      <c r="B19" s="80" t="s">
        <v>45</v>
      </c>
      <c r="C19" s="115">
        <v>4</v>
      </c>
      <c r="D19" s="82">
        <v>2</v>
      </c>
      <c r="E19" s="142">
        <v>100</v>
      </c>
      <c r="F19" s="143">
        <v>50</v>
      </c>
      <c r="G19" s="144">
        <f>(E19-F19)/(C19-D19)</f>
        <v>25</v>
      </c>
    </row>
    <row r="20" spans="2:7" x14ac:dyDescent="0.25">
      <c r="B20" s="84" t="s">
        <v>41</v>
      </c>
      <c r="C20" s="85">
        <v>3</v>
      </c>
      <c r="D20" s="35">
        <v>2</v>
      </c>
      <c r="E20" s="145">
        <v>80</v>
      </c>
      <c r="F20" s="146">
        <v>60</v>
      </c>
      <c r="G20" s="147">
        <f>(E20-F20)/(C20-D20)</f>
        <v>20</v>
      </c>
    </row>
    <row r="21" spans="2:7" x14ac:dyDescent="0.25">
      <c r="B21" s="84" t="s">
        <v>44</v>
      </c>
      <c r="C21" s="85">
        <v>5</v>
      </c>
      <c r="D21" s="35">
        <v>3</v>
      </c>
      <c r="E21" s="145">
        <v>140</v>
      </c>
      <c r="F21" s="146">
        <v>70</v>
      </c>
      <c r="G21" s="147">
        <f>(E21-F21)/(C21-D21)</f>
        <v>35</v>
      </c>
    </row>
    <row r="22" spans="2:7" x14ac:dyDescent="0.25">
      <c r="B22" s="88" t="s">
        <v>43</v>
      </c>
      <c r="C22" s="96">
        <v>2</v>
      </c>
      <c r="D22" s="89">
        <v>1</v>
      </c>
      <c r="E22" s="148">
        <v>60</v>
      </c>
      <c r="F22" s="149">
        <v>30</v>
      </c>
      <c r="G22" s="150">
        <f>(E22-F22)/(C22-D22)</f>
        <v>30</v>
      </c>
    </row>
  </sheetData>
  <dataValidations count="1">
    <dataValidation type="list" operator="equal" allowBlank="1" showInputMessage="1" showErrorMessage="1" sqref="H4:H9" xr:uid="{00000000-0002-0000-0800-000000000000}">
      <formula1>"Si,No"</formula1>
      <formula2>0</formula2>
    </dataValidation>
  </dataValidation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237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8</vt:i4>
      </vt:variant>
    </vt:vector>
  </HeadingPairs>
  <TitlesOfParts>
    <vt:vector size="19" baseType="lpstr">
      <vt:lpstr>Capacidad</vt:lpstr>
      <vt:lpstr>Gantt</vt:lpstr>
      <vt:lpstr>Ejemplo libro</vt:lpstr>
      <vt:lpstr>Ejercicio libro - 1</vt:lpstr>
      <vt:lpstr>Ejercicio libro - 3</vt:lpstr>
      <vt:lpstr>Gantt - 1</vt:lpstr>
      <vt:lpstr>Gantt - 2</vt:lpstr>
      <vt:lpstr>Reglas de prioridad</vt:lpstr>
      <vt:lpstr>Proyectos</vt:lpstr>
      <vt:lpstr>Inventario</vt:lpstr>
      <vt:lpstr>Inventario - 1</vt:lpstr>
      <vt:lpstr>'Ejemplo libro'!Área_de_impresión</vt:lpstr>
      <vt:lpstr>'Ejercicio libro - 1'!Área_de_impresión</vt:lpstr>
      <vt:lpstr>'Ejercicio libro - 3'!Área_de_impresión</vt:lpstr>
      <vt:lpstr>Gantt!Área_de_impresión</vt:lpstr>
      <vt:lpstr>'Gantt - 1'!Área_de_impresión</vt:lpstr>
      <vt:lpstr>'Gantt - 2'!Área_de_impresión</vt:lpstr>
      <vt:lpstr>Clase</vt:lpstr>
      <vt:lpstr>Trabajo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Carlos Dutra da Silveira</dc:creator>
  <dc:description/>
  <cp:lastModifiedBy>Silvana Martinez</cp:lastModifiedBy>
  <cp:revision>9</cp:revision>
  <cp:lastPrinted>2020-07-06T21:28:24Z</cp:lastPrinted>
  <dcterms:created xsi:type="dcterms:W3CDTF">2020-06-26T17:44:14Z</dcterms:created>
  <dcterms:modified xsi:type="dcterms:W3CDTF">2024-06-25T20:58:36Z</dcterms:modified>
  <dc:language>es-UY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0x010100E26165DF3AFADD47B4E7248074D63E14</vt:lpwstr>
  </property>
</Properties>
</file>