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áf4" sheetId="1" r:id="rId4"/>
    <sheet state="visible" name="Plan1" sheetId="2" r:id="rId5"/>
  </sheets>
  <definedNames/>
  <calcPr/>
</workbook>
</file>

<file path=xl/sharedStrings.xml><?xml version="1.0" encoding="utf-8"?>
<sst xmlns="http://schemas.openxmlformats.org/spreadsheetml/2006/main" count="119" uniqueCount="92">
  <si>
    <t>Convencional</t>
  </si>
  <si>
    <t>Ponto</t>
  </si>
  <si>
    <t>P</t>
  </si>
  <si>
    <t>T</t>
  </si>
  <si>
    <t>h</t>
  </si>
  <si>
    <t>s</t>
  </si>
  <si>
    <t>e</t>
  </si>
  <si>
    <t>mc conv</t>
  </si>
  <si>
    <t>0,5 liq sat</t>
  </si>
  <si>
    <t>Ecomb conv</t>
  </si>
  <si>
    <t>0,6 liq co</t>
  </si>
  <si>
    <t>e4-e7</t>
  </si>
  <si>
    <t>e4-e6</t>
  </si>
  <si>
    <t>e6-e7</t>
  </si>
  <si>
    <t>5 liq comp</t>
  </si>
  <si>
    <t>0,6 vap sat</t>
  </si>
  <si>
    <t>0,6 liq sat</t>
  </si>
  <si>
    <t>Solar Turbines Taurus 65</t>
  </si>
  <si>
    <t>Ep</t>
  </si>
  <si>
    <t>kW</t>
  </si>
  <si>
    <t>mg</t>
  </si>
  <si>
    <t>kg/s</t>
  </si>
  <si>
    <t>np</t>
  </si>
  <si>
    <t>Tg</t>
  </si>
  <si>
    <t>oC</t>
  </si>
  <si>
    <t>nmtg</t>
  </si>
  <si>
    <t>Heat Rate</t>
  </si>
  <si>
    <t>kJ/kWh</t>
  </si>
  <si>
    <t>nger</t>
  </si>
  <si>
    <t>Ctg 520 US$/kW</t>
  </si>
  <si>
    <t>520 US$/kW</t>
  </si>
  <si>
    <t>Ho</t>
  </si>
  <si>
    <t>H</t>
  </si>
  <si>
    <t>inst +30%</t>
  </si>
  <si>
    <t>So</t>
  </si>
  <si>
    <t>mv kg/s</t>
  </si>
  <si>
    <t>To</t>
  </si>
  <si>
    <t>Tpp=Tsat+10</t>
  </si>
  <si>
    <t>Er</t>
  </si>
  <si>
    <t>mv´</t>
  </si>
  <si>
    <t>m1</t>
  </si>
  <si>
    <t>mc</t>
  </si>
  <si>
    <t>Tch</t>
  </si>
  <si>
    <t>PCI</t>
  </si>
  <si>
    <t>mctotal</t>
  </si>
  <si>
    <t>Qg</t>
  </si>
  <si>
    <t>ncal</t>
  </si>
  <si>
    <t>Ecomb</t>
  </si>
  <si>
    <t>Qa</t>
  </si>
  <si>
    <t>m3</t>
  </si>
  <si>
    <t>Pel</t>
  </si>
  <si>
    <t>mcsupl</t>
  </si>
  <si>
    <t xml:space="preserve">Taxa </t>
  </si>
  <si>
    <t>K anos</t>
  </si>
  <si>
    <t>f=</t>
  </si>
  <si>
    <t>Ccal</t>
  </si>
  <si>
    <t>Wb2</t>
  </si>
  <si>
    <t>Wb</t>
  </si>
  <si>
    <t>Cb2</t>
  </si>
  <si>
    <t>Cb</t>
  </si>
  <si>
    <t>Wb1</t>
  </si>
  <si>
    <t>rendimento do sistema</t>
  </si>
  <si>
    <t>Cb1</t>
  </si>
  <si>
    <t>n ele</t>
  </si>
  <si>
    <t>n global 1a</t>
  </si>
  <si>
    <t>Ctv</t>
  </si>
  <si>
    <t>n global 2a</t>
  </si>
  <si>
    <t>Invest</t>
  </si>
  <si>
    <t>Hvp</t>
  </si>
  <si>
    <t>Evp</t>
  </si>
  <si>
    <t>Custo do sistema de cogeração</t>
  </si>
  <si>
    <t>Sist Novo</t>
  </si>
  <si>
    <t>US$/kW</t>
  </si>
  <si>
    <t>troca do sistema</t>
  </si>
  <si>
    <t>Sistema Novo</t>
  </si>
  <si>
    <t>k anos</t>
  </si>
  <si>
    <t>f</t>
  </si>
  <si>
    <t>Pcomb</t>
  </si>
  <si>
    <t>cge</t>
  </si>
  <si>
    <t>cele</t>
  </si>
  <si>
    <t>cve</t>
  </si>
  <si>
    <t>Cmane</t>
  </si>
  <si>
    <t>cvh conv</t>
  </si>
  <si>
    <t>Cman conv</t>
  </si>
  <si>
    <t>GPEL</t>
  </si>
  <si>
    <t>Pgto Inv</t>
  </si>
  <si>
    <t>Resultado</t>
  </si>
  <si>
    <t>Troca do sistema</t>
  </si>
  <si>
    <t>Economia anual</t>
  </si>
  <si>
    <t>Taxa de juros</t>
  </si>
  <si>
    <t>periodo do emprestimo</t>
  </si>
  <si>
    <t>Payback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</si>
</sst>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0.0"/>
    <numFmt numFmtId="165" formatCode="_(* #,##0.0000_);_(* \(#,##0.0000\);_(* &quot;-&quot;??_);_(@_)"/>
    <numFmt numFmtId="166" formatCode="_(* #,##0_);_(* \(#,##0\);_(* &quot;-&quot;??_);_(@_)"/>
    <numFmt numFmtId="167" formatCode="_-* #,##0.00_-;\-* #,##0.00_-;_-* &quot;-&quot;??_-;_-@"/>
    <numFmt numFmtId="168" formatCode="0.000"/>
    <numFmt numFmtId="169" formatCode="0.0000"/>
    <numFmt numFmtId="170" formatCode="_(* #,##0.00_);_(* \(#,##0.00\);_(* &quot;-&quot;??_);_(@_)"/>
    <numFmt numFmtId="171" formatCode="_-* #,##0_-;\-* #,##0_-;_-* &quot;-&quot;??_-;_-@"/>
    <numFmt numFmtId="172" formatCode="_-* #,##0_-;\-* #,##0_-;_-* &quot;-&quot;????_-;_-@"/>
  </numFmts>
  <fonts count="4">
    <font>
      <sz val="10.0"/>
      <color rgb="FF000000"/>
      <name val="Arial"/>
      <scheme val="minor"/>
    </font>
    <font>
      <color theme="1"/>
      <name val="Arial"/>
      <scheme val="minor"/>
    </font>
    <font>
      <sz val="10.0"/>
      <color theme="1"/>
      <name val="Arial"/>
    </font>
    <font/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right" shrinkToFit="0" vertical="bottom" wrapText="0"/>
    </xf>
    <xf borderId="1" fillId="0" fontId="2" numFmtId="164" xfId="0" applyAlignment="1" applyBorder="1" applyFont="1" applyNumberFormat="1">
      <alignment shrinkToFit="0" vertical="bottom" wrapText="0"/>
    </xf>
    <xf borderId="1" fillId="0" fontId="2" numFmtId="2" xfId="0" applyAlignment="1" applyBorder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0" fontId="3" numFmtId="0" xfId="0" applyBorder="1" applyFont="1"/>
    <xf borderId="0" fillId="0" fontId="2" numFmtId="165" xfId="0" applyAlignment="1" applyFont="1" applyNumberFormat="1">
      <alignment shrinkToFit="0" vertical="bottom" wrapText="0"/>
    </xf>
    <xf borderId="0" fillId="0" fontId="2" numFmtId="166" xfId="0" applyAlignment="1" applyFont="1" applyNumberForma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2" numFmtId="167" xfId="0" applyAlignment="1" applyFont="1" applyNumberFormat="1">
      <alignment shrinkToFit="0" vertical="bottom" wrapText="0"/>
    </xf>
    <xf borderId="0" fillId="0" fontId="2" numFmtId="2" xfId="0" applyAlignment="1" applyFont="1" applyNumberFormat="1">
      <alignment shrinkToFit="0" vertical="bottom" wrapText="0"/>
    </xf>
    <xf borderId="1" fillId="0" fontId="2" numFmtId="168" xfId="0" applyAlignment="1" applyBorder="1" applyFont="1" applyNumberFormat="1">
      <alignment shrinkToFit="0" vertical="bottom" wrapText="0"/>
    </xf>
    <xf borderId="1" fillId="0" fontId="2" numFmtId="169" xfId="0" applyAlignment="1" applyBorder="1" applyFont="1" applyNumberFormat="1">
      <alignment shrinkToFit="0" vertical="bottom" wrapText="0"/>
    </xf>
    <xf borderId="0" fillId="0" fontId="2" numFmtId="1" xfId="0" applyAlignment="1" applyFont="1" applyNumberFormat="1">
      <alignment shrinkToFit="0" vertical="bottom" wrapText="0"/>
    </xf>
    <xf borderId="1" fillId="0" fontId="2" numFmtId="166" xfId="0" applyAlignment="1" applyBorder="1" applyFont="1" applyNumberFormat="1">
      <alignment shrinkToFit="0" vertical="bottom" wrapText="0"/>
    </xf>
    <xf borderId="0" fillId="0" fontId="2" numFmtId="169" xfId="0" applyAlignment="1" applyFont="1" applyNumberFormat="1">
      <alignment shrinkToFit="0" vertical="bottom" wrapText="0"/>
    </xf>
    <xf borderId="3" fillId="0" fontId="2" numFmtId="165" xfId="0" applyAlignment="1" applyBorder="1" applyFont="1" applyNumberFormat="1">
      <alignment shrinkToFit="0" vertical="bottom" wrapText="0"/>
    </xf>
    <xf borderId="1" fillId="0" fontId="2" numFmtId="170" xfId="0" applyAlignment="1" applyBorder="1" applyFont="1" applyNumberFormat="1">
      <alignment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5" fillId="0" fontId="3" numFmtId="0" xfId="0" applyBorder="1" applyFont="1"/>
    <xf borderId="1" fillId="0" fontId="2" numFmtId="165" xfId="0" applyAlignment="1" applyBorder="1" applyFont="1" applyNumberFormat="1">
      <alignment shrinkToFit="0" vertical="bottom" wrapText="0"/>
    </xf>
    <xf borderId="1" fillId="0" fontId="2" numFmtId="171" xfId="0" applyAlignment="1" applyBorder="1" applyFont="1" applyNumberFormat="1">
      <alignment shrinkToFit="0" vertical="bottom" wrapText="0"/>
    </xf>
    <xf borderId="1" fillId="0" fontId="2" numFmtId="167" xfId="0" applyAlignment="1" applyBorder="1" applyFont="1" applyNumberFormat="1">
      <alignment shrinkToFit="0" vertical="bottom" wrapText="0"/>
    </xf>
    <xf borderId="1" fillId="0" fontId="2" numFmtId="172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5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28575">
              <a:solidFill>
                <a:srgbClr val="666699">
                  <a:alpha val="100000"/>
                </a:srgbClr>
              </a:solidFill>
            </a:ln>
          </c:spPr>
          <c:marker>
            <c:symbol val="none"/>
          </c:marker>
          <c:val>
            <c:numRef>
              <c:f>Plan1!$N$44:$N$53</c:f>
              <c:numCache/>
            </c:numRef>
          </c:val>
          <c:smooth val="0"/>
        </c:ser>
        <c:ser>
          <c:idx val="1"/>
          <c:order val="1"/>
          <c:spPr>
            <a:ln cmpd="sng" w="28575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val>
            <c:numRef>
              <c:f>Plan1!$P$44:$P$53</c:f>
              <c:numCache/>
            </c:numRef>
          </c:val>
          <c:smooth val="0"/>
        </c:ser>
        <c:axId val="702585691"/>
        <c:axId val="1186465616"/>
      </c:lineChart>
      <c:catAx>
        <c:axId val="7025856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86465616"/>
      </c:catAx>
      <c:valAx>
        <c:axId val="11864656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258569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descr="Chart 0"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25"/>
    <col customWidth="1" min="2" max="3" width="13.63"/>
    <col customWidth="1" min="4" max="4" width="13.13"/>
    <col customWidth="1" min="5" max="5" width="13.63"/>
    <col customWidth="1" min="6" max="6" width="10.38"/>
    <col customWidth="1" min="7" max="7" width="10.13"/>
    <col customWidth="1" min="8" max="8" width="11.38"/>
    <col customWidth="1" min="9" max="9" width="10.38"/>
    <col customWidth="1" min="10" max="10" width="9.25"/>
    <col customWidth="1" min="11" max="11" width="11.38"/>
    <col customWidth="1" min="12" max="12" width="11.75"/>
    <col customWidth="1" min="13" max="13" width="10.13"/>
    <col customWidth="1" min="14" max="14" width="15.13"/>
    <col customWidth="1" min="15" max="15" width="11.38"/>
    <col customWidth="1" min="16" max="16" width="15.25"/>
    <col customWidth="1" min="17" max="17" width="13.13"/>
    <col customWidth="1" min="18" max="26" width="8.0"/>
  </cols>
  <sheetData>
    <row r="1" ht="12.75" customHeight="1"/>
    <row r="2" ht="12.75" customHeight="1">
      <c r="H2" s="1" t="s">
        <v>0</v>
      </c>
    </row>
    <row r="3" ht="12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1</v>
      </c>
      <c r="I3" s="2" t="s">
        <v>2</v>
      </c>
      <c r="J3" s="2" t="s">
        <v>3</v>
      </c>
      <c r="K3" s="2" t="s">
        <v>4</v>
      </c>
    </row>
    <row r="4" ht="12.75" customHeight="1">
      <c r="A4" s="2">
        <v>4.0</v>
      </c>
      <c r="B4" s="2">
        <v>15.0</v>
      </c>
      <c r="C4" s="2">
        <v>1300.0</v>
      </c>
      <c r="D4" s="2">
        <v>1395.89</v>
      </c>
      <c r="E4" s="2">
        <v>8.44046</v>
      </c>
      <c r="F4" s="2"/>
      <c r="H4" s="2">
        <v>1.0</v>
      </c>
      <c r="I4" s="2">
        <v>0.6</v>
      </c>
      <c r="J4" s="2"/>
      <c r="K4" s="2">
        <v>2757.0</v>
      </c>
      <c r="M4" s="2" t="s">
        <v>7</v>
      </c>
      <c r="N4" s="2">
        <f>E21*(K4-K6)/(B26*B25)</f>
        <v>0.2932076888</v>
      </c>
    </row>
    <row r="5" ht="12.75" customHeight="1">
      <c r="A5" s="2">
        <v>6.0</v>
      </c>
      <c r="B5" s="2">
        <v>1.0</v>
      </c>
      <c r="C5" s="2">
        <v>823.0</v>
      </c>
      <c r="D5" s="2">
        <v>847.59</v>
      </c>
      <c r="E5" s="2">
        <v>7.9159</v>
      </c>
      <c r="F5" s="2"/>
      <c r="H5" s="2">
        <v>2.0</v>
      </c>
      <c r="I5" s="2" t="s">
        <v>8</v>
      </c>
      <c r="J5" s="2"/>
      <c r="K5" s="2">
        <v>640.21</v>
      </c>
      <c r="M5" s="2" t="s">
        <v>9</v>
      </c>
      <c r="N5" s="2">
        <f>N4*B25</f>
        <v>14064</v>
      </c>
    </row>
    <row r="6" ht="12.75" customHeight="1">
      <c r="A6" s="2">
        <v>7.0</v>
      </c>
      <c r="B6" s="2">
        <v>1.0</v>
      </c>
      <c r="C6" s="2">
        <v>436.0</v>
      </c>
      <c r="D6" s="2">
        <v>437.87</v>
      </c>
      <c r="E6" s="2">
        <v>7.2466</v>
      </c>
      <c r="F6" s="2"/>
      <c r="H6" s="2">
        <v>3.0</v>
      </c>
      <c r="I6" s="2" t="s">
        <v>10</v>
      </c>
      <c r="J6" s="2"/>
      <c r="K6" s="2">
        <v>647.4</v>
      </c>
    </row>
    <row r="7" ht="12.75" customHeight="1">
      <c r="A7" s="3" t="s">
        <v>11</v>
      </c>
      <c r="B7" s="4">
        <f>H16*((D4-D6)-B22*(E4-E6-0.287*LN(B4)))</f>
        <v>17594.41269</v>
      </c>
      <c r="C7" s="3" t="s">
        <v>12</v>
      </c>
      <c r="D7" s="4">
        <f>H16*((D4-D5)-B22*(E4-E5-0.287*LN(B4)))</f>
        <v>13157.74523</v>
      </c>
      <c r="E7" s="3" t="s">
        <v>13</v>
      </c>
      <c r="F7" s="4">
        <f>H16*((D5-D6)-B22*(E5-E6-0.287*LN(1)))</f>
        <v>4436.66746</v>
      </c>
    </row>
    <row r="8" ht="12.75" customHeight="1">
      <c r="A8" s="2"/>
      <c r="B8" s="2"/>
      <c r="C8" s="2"/>
      <c r="D8" s="2"/>
      <c r="E8" s="2"/>
      <c r="F8" s="2"/>
    </row>
    <row r="9" ht="12.75" customHeight="1">
      <c r="A9" s="2"/>
      <c r="B9" s="2" t="s">
        <v>8</v>
      </c>
      <c r="C9" s="2">
        <v>152.0</v>
      </c>
      <c r="D9" s="2">
        <v>640.21</v>
      </c>
      <c r="E9" s="2">
        <v>1.8606</v>
      </c>
      <c r="F9" s="2">
        <f t="shared" ref="F9:F11" si="1">(D9-$B$20)-$B$22*(E9-$B$21)</f>
        <v>90.3366</v>
      </c>
    </row>
    <row r="10" ht="12.75" customHeight="1">
      <c r="A10" s="2">
        <v>7.0</v>
      </c>
      <c r="B10" s="2" t="s">
        <v>14</v>
      </c>
      <c r="C10" s="2">
        <v>129.0</v>
      </c>
      <c r="D10" s="2">
        <v>546.4</v>
      </c>
      <c r="E10" s="2">
        <v>1.622</v>
      </c>
      <c r="F10" s="2">
        <f t="shared" si="1"/>
        <v>67.6294</v>
      </c>
    </row>
    <row r="11" ht="12.75" customHeight="1">
      <c r="A11" s="2">
        <v>8.0</v>
      </c>
      <c r="B11" s="2" t="s">
        <v>8</v>
      </c>
      <c r="C11" s="2">
        <v>151.86</v>
      </c>
      <c r="D11" s="5">
        <f>D9+0.001093*(600-500)</f>
        <v>640.3193</v>
      </c>
      <c r="E11" s="2">
        <v>1.8606</v>
      </c>
      <c r="F11" s="5">
        <f t="shared" si="1"/>
        <v>90.4459</v>
      </c>
    </row>
    <row r="12" ht="12.75" customHeight="1">
      <c r="A12" s="2">
        <v>9.0</v>
      </c>
      <c r="B12" s="2" t="s">
        <v>15</v>
      </c>
      <c r="C12" s="2">
        <v>159.0</v>
      </c>
      <c r="D12" s="2">
        <v>2756.8</v>
      </c>
      <c r="E12" s="2">
        <v>6.76</v>
      </c>
      <c r="F12" s="2"/>
    </row>
    <row r="13" ht="12.75" customHeight="1">
      <c r="A13" s="2"/>
      <c r="B13" s="2" t="s">
        <v>16</v>
      </c>
      <c r="C13" s="2">
        <v>159.0</v>
      </c>
      <c r="D13" s="2">
        <v>670.54</v>
      </c>
      <c r="E13" s="2">
        <v>6.76</v>
      </c>
      <c r="F13" s="2"/>
    </row>
    <row r="14" ht="12.75" customHeight="1">
      <c r="A14" s="6"/>
      <c r="B14" s="6"/>
      <c r="C14" s="6"/>
      <c r="D14" s="6"/>
      <c r="E14" s="6"/>
      <c r="F14" s="6"/>
      <c r="G14" s="7" t="s">
        <v>17</v>
      </c>
      <c r="H14" s="8"/>
      <c r="I14" s="8"/>
    </row>
    <row r="15" ht="12.75" customHeight="1">
      <c r="A15" s="6"/>
      <c r="B15" s="6"/>
      <c r="C15" s="6"/>
      <c r="D15" s="6"/>
      <c r="E15" s="6"/>
      <c r="F15" s="6"/>
      <c r="G15" s="2" t="s">
        <v>18</v>
      </c>
      <c r="H15" s="2">
        <v>6300.0</v>
      </c>
      <c r="I15" s="2" t="s">
        <v>19</v>
      </c>
    </row>
    <row r="16" ht="12.75" customHeight="1">
      <c r="A16" s="6"/>
      <c r="B16" s="6"/>
      <c r="C16" s="6"/>
      <c r="D16" s="6"/>
      <c r="E16" s="6"/>
      <c r="F16" s="6"/>
      <c r="G16" s="2" t="s">
        <v>20</v>
      </c>
      <c r="H16" s="2">
        <v>21.1</v>
      </c>
      <c r="I16" s="2" t="s">
        <v>21</v>
      </c>
    </row>
    <row r="17" ht="12.75" customHeight="1">
      <c r="A17" s="6"/>
      <c r="B17" s="6"/>
      <c r="C17" s="6"/>
      <c r="D17" s="2" t="s">
        <v>22</v>
      </c>
      <c r="E17" s="2">
        <v>0.75</v>
      </c>
      <c r="F17" s="6"/>
      <c r="G17" s="2" t="s">
        <v>23</v>
      </c>
      <c r="H17" s="2">
        <v>550.0</v>
      </c>
      <c r="I17" s="2" t="s">
        <v>24</v>
      </c>
    </row>
    <row r="18" ht="12.75" customHeight="1">
      <c r="A18" s="6"/>
      <c r="B18" s="6"/>
      <c r="C18" s="6"/>
      <c r="D18" s="2" t="s">
        <v>25</v>
      </c>
      <c r="E18" s="2">
        <v>0.98</v>
      </c>
      <c r="F18" s="6"/>
      <c r="G18" s="2" t="s">
        <v>26</v>
      </c>
      <c r="H18" s="2">
        <v>10945.0</v>
      </c>
      <c r="I18" s="2" t="s">
        <v>27</v>
      </c>
    </row>
    <row r="19" ht="12.75" customHeight="1">
      <c r="D19" s="2" t="s">
        <v>28</v>
      </c>
      <c r="E19" s="2">
        <v>0.97</v>
      </c>
      <c r="G19" s="2" t="s">
        <v>29</v>
      </c>
      <c r="H19" s="2">
        <f>H15*520</f>
        <v>3276000</v>
      </c>
      <c r="I19" s="2" t="s">
        <v>30</v>
      </c>
    </row>
    <row r="20" ht="12.75" customHeight="1">
      <c r="A20" s="2" t="s">
        <v>31</v>
      </c>
      <c r="B20" s="2">
        <v>104.87</v>
      </c>
      <c r="D20" s="2" t="s">
        <v>32</v>
      </c>
      <c r="E20" s="2">
        <v>8000.0</v>
      </c>
      <c r="G20" s="2" t="s">
        <v>33</v>
      </c>
      <c r="H20" s="2">
        <f>H19*1.3</f>
        <v>4258800</v>
      </c>
      <c r="I20" s="2"/>
    </row>
    <row r="21" ht="12.75" customHeight="1">
      <c r="A21" s="2" t="s">
        <v>34</v>
      </c>
      <c r="B21" s="2">
        <v>0.3673</v>
      </c>
      <c r="D21" s="2" t="s">
        <v>35</v>
      </c>
      <c r="E21" s="2">
        <v>6.0</v>
      </c>
      <c r="I21" s="9"/>
      <c r="J21" s="9"/>
      <c r="K21" s="9"/>
      <c r="L21" s="9"/>
      <c r="M21" s="10"/>
      <c r="N21" s="10"/>
      <c r="O21" s="10"/>
      <c r="P21" s="11"/>
      <c r="Q21" s="12"/>
    </row>
    <row r="22" ht="12.75" customHeight="1">
      <c r="A22" s="2" t="s">
        <v>36</v>
      </c>
      <c r="B22" s="2">
        <v>298.0</v>
      </c>
      <c r="G22" s="1" t="s">
        <v>37</v>
      </c>
      <c r="I22" s="9">
        <f>C13+10</f>
        <v>169</v>
      </c>
      <c r="J22" s="9"/>
      <c r="K22" s="9"/>
      <c r="L22" s="9"/>
      <c r="M22" s="10"/>
      <c r="N22" s="10"/>
      <c r="O22" s="10"/>
      <c r="P22" s="11"/>
      <c r="Q22" s="12"/>
    </row>
    <row r="23" ht="12.75" customHeight="1">
      <c r="D23" s="2" t="s">
        <v>38</v>
      </c>
      <c r="E23" s="2">
        <v>6000.0</v>
      </c>
      <c r="G23" s="1" t="s">
        <v>39</v>
      </c>
      <c r="H23" s="13">
        <f>B26*H16*1.148*(H17-I22)/(D12-D13)</f>
        <v>3.981286187</v>
      </c>
      <c r="I23" s="9" t="s">
        <v>21</v>
      </c>
      <c r="J23" s="9"/>
      <c r="K23" s="9"/>
      <c r="L23" s="9"/>
      <c r="M23" s="10"/>
      <c r="N23" s="10"/>
      <c r="O23" s="10"/>
      <c r="P23" s="11"/>
      <c r="Q23" s="12"/>
    </row>
    <row r="24" ht="12.75" customHeight="1">
      <c r="A24" s="2" t="s">
        <v>40</v>
      </c>
      <c r="B24" s="14">
        <f>((E23/(E18*E19)+E21*(D5-D6)))/(D4-D6)</f>
        <v>9.15442587</v>
      </c>
      <c r="D24" s="2" t="s">
        <v>41</v>
      </c>
      <c r="E24" s="15">
        <f>E23*H18/(3600*B25)</f>
        <v>0.3803041043</v>
      </c>
      <c r="G24" s="1" t="s">
        <v>42</v>
      </c>
      <c r="H24" s="11">
        <f>H17-((H23*(D12-D11))/(B26*H16*1.148))</f>
        <v>163.4809915</v>
      </c>
      <c r="I24" s="9" t="s">
        <v>24</v>
      </c>
      <c r="J24" s="9"/>
      <c r="K24" s="9"/>
      <c r="L24" s="9"/>
      <c r="M24" s="10"/>
      <c r="N24" s="10"/>
      <c r="O24" s="10"/>
      <c r="P24" s="11"/>
      <c r="Q24" s="12"/>
    </row>
    <row r="25" ht="12.75" customHeight="1">
      <c r="A25" s="2" t="s">
        <v>43</v>
      </c>
      <c r="B25" s="2">
        <v>47966.0</v>
      </c>
      <c r="D25" s="2" t="s">
        <v>44</v>
      </c>
      <c r="E25" s="15">
        <f>E24+H27</f>
        <v>0.4792762657</v>
      </c>
      <c r="G25" s="1" t="s">
        <v>45</v>
      </c>
      <c r="H25" s="16">
        <f>H16*1.148*(H17-H24)</f>
        <v>9362.572639</v>
      </c>
      <c r="I25" s="9" t="s">
        <v>19</v>
      </c>
      <c r="J25" s="9"/>
      <c r="K25" s="9"/>
      <c r="L25" s="9"/>
      <c r="M25" s="10"/>
      <c r="N25" s="10"/>
      <c r="O25" s="10"/>
      <c r="P25" s="11"/>
      <c r="Q25" s="12"/>
    </row>
    <row r="26" ht="12.75" customHeight="1">
      <c r="A26" s="2" t="s">
        <v>46</v>
      </c>
      <c r="B26" s="2">
        <v>0.9</v>
      </c>
      <c r="D26" s="2" t="s">
        <v>47</v>
      </c>
      <c r="E26" s="17">
        <f>E25*B25</f>
        <v>22988.96536</v>
      </c>
      <c r="G26" s="1" t="s">
        <v>48</v>
      </c>
      <c r="H26" s="16">
        <f>E21*(D12-D11)</f>
        <v>12698.8842</v>
      </c>
      <c r="I26" s="9" t="s">
        <v>19</v>
      </c>
      <c r="J26" s="9"/>
      <c r="K26" s="9"/>
      <c r="L26" s="9"/>
      <c r="M26" s="10"/>
      <c r="N26" s="10"/>
      <c r="O26" s="10"/>
      <c r="P26" s="11"/>
      <c r="Q26" s="12"/>
    </row>
    <row r="27" ht="12.75" customHeight="1">
      <c r="A27" s="2" t="s">
        <v>49</v>
      </c>
      <c r="B27" s="14">
        <f>B24-E21</f>
        <v>3.15442587</v>
      </c>
      <c r="D27" s="2" t="s">
        <v>50</v>
      </c>
      <c r="E27" s="2">
        <v>0.129</v>
      </c>
      <c r="G27" s="1" t="s">
        <v>51</v>
      </c>
      <c r="H27" s="18">
        <f>(H26/B26-H25)/B25</f>
        <v>0.0989721614</v>
      </c>
      <c r="I27" s="9" t="s">
        <v>21</v>
      </c>
      <c r="J27" s="9"/>
      <c r="K27" s="9"/>
      <c r="L27" s="9"/>
      <c r="M27" s="10"/>
      <c r="N27" s="10"/>
      <c r="O27" s="10"/>
      <c r="P27" s="11"/>
      <c r="Q27" s="12"/>
    </row>
    <row r="28" ht="12.75" customHeight="1">
      <c r="A28" s="2" t="s">
        <v>52</v>
      </c>
      <c r="B28" s="2">
        <v>0.08</v>
      </c>
      <c r="C28" s="2"/>
      <c r="D28" s="2"/>
      <c r="I28" s="9"/>
      <c r="J28" s="9"/>
      <c r="K28" s="9"/>
      <c r="L28" s="9"/>
      <c r="M28" s="10"/>
      <c r="N28" s="10"/>
      <c r="O28" s="10"/>
      <c r="P28" s="11"/>
      <c r="Q28" s="12"/>
    </row>
    <row r="29" ht="12.75" customHeight="1">
      <c r="A29" s="2" t="s">
        <v>53</v>
      </c>
      <c r="B29" s="2">
        <v>5.0</v>
      </c>
      <c r="C29" s="2" t="s">
        <v>54</v>
      </c>
      <c r="D29" s="19">
        <f>PMT(B28,B29,-1)</f>
        <v>0.2504564546</v>
      </c>
      <c r="I29" s="9"/>
      <c r="J29" s="9"/>
      <c r="K29" s="9"/>
      <c r="L29" s="9"/>
      <c r="M29" s="10"/>
      <c r="N29" s="10"/>
      <c r="O29" s="10"/>
      <c r="P29" s="11"/>
      <c r="Q29" s="12"/>
    </row>
    <row r="30" ht="12.75" customHeight="1">
      <c r="D30" s="2" t="s">
        <v>0</v>
      </c>
      <c r="E30" s="2"/>
      <c r="I30" s="9"/>
      <c r="J30" s="9"/>
      <c r="K30" s="9"/>
      <c r="L30" s="9"/>
      <c r="M30" s="10"/>
      <c r="N30" s="10"/>
      <c r="O30" s="10"/>
      <c r="P30" s="11"/>
      <c r="Q30" s="12"/>
    </row>
    <row r="31" ht="12.75" customHeight="1">
      <c r="A31" s="2" t="s">
        <v>55</v>
      </c>
      <c r="B31" s="20">
        <f>4745*(D12/LOG(H17-H24))^0.8+11820*E21+658*H16</f>
        <v>1338811.885</v>
      </c>
      <c r="D31" s="2" t="s">
        <v>55</v>
      </c>
      <c r="E31" s="20">
        <f>155*K4*E21^0.37*EXP((0.6-2)/5.26)</f>
        <v>635466.6156</v>
      </c>
      <c r="I31" s="9"/>
      <c r="J31" s="9"/>
      <c r="K31" s="9"/>
      <c r="L31" s="9"/>
      <c r="M31" s="10"/>
      <c r="N31" s="10"/>
      <c r="O31" s="10"/>
      <c r="P31" s="11"/>
      <c r="Q31" s="12"/>
    </row>
    <row r="32" ht="12.75" customHeight="1">
      <c r="A32" s="2" t="s">
        <v>56</v>
      </c>
      <c r="B32" s="4"/>
      <c r="D32" s="2" t="s">
        <v>57</v>
      </c>
      <c r="E32" s="2">
        <v>0.0</v>
      </c>
    </row>
    <row r="33" ht="12.75" customHeight="1">
      <c r="A33" s="2" t="s">
        <v>58</v>
      </c>
      <c r="B33" s="17">
        <f>4990*B32^0.71</f>
        <v>0</v>
      </c>
      <c r="D33" s="2" t="s">
        <v>59</v>
      </c>
      <c r="E33" s="17">
        <f>4990*E32^0.71</f>
        <v>0</v>
      </c>
    </row>
    <row r="34" ht="12.75" customHeight="1">
      <c r="A34" s="2" t="s">
        <v>60</v>
      </c>
      <c r="B34" s="4"/>
      <c r="D34" s="2"/>
      <c r="E34" s="17"/>
      <c r="G34" s="21" t="s">
        <v>61</v>
      </c>
      <c r="H34" s="22"/>
    </row>
    <row r="35" ht="12.75" customHeight="1">
      <c r="A35" s="2" t="s">
        <v>62</v>
      </c>
      <c r="B35" s="17">
        <f>4990*B34^0.71</f>
        <v>0</v>
      </c>
      <c r="D35" s="2"/>
      <c r="E35" s="17"/>
      <c r="G35" s="2" t="s">
        <v>63</v>
      </c>
      <c r="H35" s="23">
        <f>E23/E26</f>
        <v>0.2609947819</v>
      </c>
    </row>
    <row r="36" ht="12.75" customHeight="1">
      <c r="A36" s="2" t="s">
        <v>18</v>
      </c>
      <c r="B36" s="17">
        <f>E23</f>
        <v>6000</v>
      </c>
      <c r="D36" s="2" t="s">
        <v>18</v>
      </c>
      <c r="E36" s="2">
        <v>6000.0</v>
      </c>
      <c r="G36" s="2" t="s">
        <v>64</v>
      </c>
      <c r="H36" s="23">
        <f>(E23+B39)/E26</f>
        <v>0.8133852005</v>
      </c>
    </row>
    <row r="37" ht="12.75" customHeight="1">
      <c r="A37" s="2" t="s">
        <v>65</v>
      </c>
      <c r="B37" s="17"/>
      <c r="D37" s="2"/>
      <c r="E37" s="2"/>
      <c r="G37" s="2" t="s">
        <v>66</v>
      </c>
      <c r="H37" s="23">
        <f>(E23+B40)/E26</f>
        <v>0.4323272859</v>
      </c>
    </row>
    <row r="38" ht="12.75" customHeight="1">
      <c r="A38" s="2" t="s">
        <v>67</v>
      </c>
      <c r="B38" s="24">
        <f>B31+H20</f>
        <v>5597611.885</v>
      </c>
      <c r="D38" s="2" t="s">
        <v>67</v>
      </c>
      <c r="E38" s="25">
        <f>E31+E33</f>
        <v>635466.6156</v>
      </c>
    </row>
    <row r="39" ht="12.75" customHeight="1">
      <c r="A39" s="2" t="s">
        <v>68</v>
      </c>
      <c r="B39" s="17">
        <f>E21*(D12-D11)</f>
        <v>12698.8842</v>
      </c>
      <c r="D39" s="2" t="s">
        <v>68</v>
      </c>
      <c r="E39" s="2">
        <f>B24*(K4-K5)</f>
        <v>19377.99714</v>
      </c>
    </row>
    <row r="40" ht="12.75" customHeight="1">
      <c r="A40" s="2" t="s">
        <v>69</v>
      </c>
      <c r="B40" s="17">
        <f>E21*((D12-D11)-B22*(E12-E11))</f>
        <v>3938.757</v>
      </c>
      <c r="D40" s="2" t="s">
        <v>69</v>
      </c>
      <c r="E40" s="2"/>
      <c r="G40" s="1" t="s">
        <v>70</v>
      </c>
    </row>
    <row r="41" ht="12.75" customHeight="1">
      <c r="A41" s="2" t="s">
        <v>71</v>
      </c>
      <c r="B41" s="25">
        <f>B38-E31</f>
        <v>4962145.269</v>
      </c>
      <c r="G41" s="12">
        <f>B38/B36</f>
        <v>932.9353141</v>
      </c>
      <c r="H41" s="1" t="s">
        <v>72</v>
      </c>
    </row>
    <row r="42" ht="12.75" customHeight="1">
      <c r="M42" s="1" t="s">
        <v>73</v>
      </c>
      <c r="O42" s="1" t="s">
        <v>74</v>
      </c>
    </row>
    <row r="43" ht="12.75" customHeight="1">
      <c r="A43" s="2" t="s">
        <v>75</v>
      </c>
      <c r="B43" s="2" t="s">
        <v>76</v>
      </c>
      <c r="C43" s="2" t="s">
        <v>77</v>
      </c>
      <c r="D43" s="2" t="s">
        <v>78</v>
      </c>
      <c r="E43" s="2" t="s">
        <v>79</v>
      </c>
      <c r="F43" s="2" t="s">
        <v>80</v>
      </c>
      <c r="G43" s="2"/>
      <c r="H43" s="2"/>
      <c r="I43" s="2" t="s">
        <v>81</v>
      </c>
      <c r="J43" s="2" t="s">
        <v>82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85</v>
      </c>
      <c r="P43" s="2" t="s">
        <v>86</v>
      </c>
    </row>
    <row r="44" ht="12.75" customHeight="1">
      <c r="A44" s="2">
        <v>1.0</v>
      </c>
      <c r="B44" s="20">
        <f t="shared" ref="B44:B53" si="2">PMT($B$28,A44,-1)</f>
        <v>1.08</v>
      </c>
      <c r="C44" s="2">
        <v>0.05</v>
      </c>
      <c r="D44" s="23">
        <f>E24*B25*C44/(B7)</f>
        <v>0.05183937362</v>
      </c>
      <c r="E44" s="23">
        <f t="shared" ref="E44:E53" si="4">B44*$H$20/($E$20*$E$23)+D44*$D$7/$E$36</f>
        <v>0.2095045452</v>
      </c>
      <c r="F44" s="23">
        <f t="shared" ref="F44:F53" si="5">B44*$B$31/($E$20*$B$40)+(D44*$F$7+$H$27*$B$25*C44)/$B$40</f>
        <v>0.1645439415</v>
      </c>
      <c r="G44" s="23"/>
      <c r="H44" s="17"/>
      <c r="I44" s="17">
        <f t="shared" ref="I44:I53" si="6">$B$36*E44+($E$23-$B$36)*$E$27+F44*$B$40</f>
        <v>1905.125872</v>
      </c>
      <c r="J44" s="23">
        <f t="shared" ref="J44:J53" si="7">((B44*($E$31+$E$33)/8000)+C44*$N$5+$E$27*$E$32)/($E$39)</f>
        <v>0.04071566259</v>
      </c>
      <c r="K44" s="26">
        <f t="shared" ref="K44:K53" si="8">$E$36*$E$27+J44*$E$39</f>
        <v>1562.987993</v>
      </c>
      <c r="L44" s="17">
        <f t="shared" ref="L44:L53" si="9">(K44-I44)*8000</f>
        <v>-2737103.035</v>
      </c>
      <c r="M44" s="4">
        <f t="shared" ref="M44:M53" si="10">PMT($B$28,A44,-$B$38)</f>
        <v>6045420.836</v>
      </c>
      <c r="N44" s="25">
        <f t="shared" ref="N44:N53" si="11">L44-M44</f>
        <v>-8782523.87</v>
      </c>
      <c r="O44" s="4">
        <f t="shared" ref="O44:O53" si="12">PMT($B$28,A44,-$B$41)</f>
        <v>5359116.891</v>
      </c>
      <c r="P44" s="25">
        <f t="shared" ref="P44:P53" si="13">L44-O44</f>
        <v>-8096219.926</v>
      </c>
    </row>
    <row r="45" ht="12.75" customHeight="1">
      <c r="A45" s="2">
        <v>2.0</v>
      </c>
      <c r="B45" s="20">
        <f t="shared" si="2"/>
        <v>0.5607692308</v>
      </c>
      <c r="C45" s="2">
        <f t="shared" ref="C45:D45" si="3">C44</f>
        <v>0.05</v>
      </c>
      <c r="D45" s="23">
        <f t="shared" si="3"/>
        <v>0.05183937362</v>
      </c>
      <c r="E45" s="23">
        <f t="shared" si="4"/>
        <v>0.1634357952</v>
      </c>
      <c r="F45" s="23">
        <f t="shared" si="5"/>
        <v>0.1424826565</v>
      </c>
      <c r="G45" s="23"/>
      <c r="H45" s="17"/>
      <c r="I45" s="17">
        <f t="shared" si="6"/>
        <v>1541.819332</v>
      </c>
      <c r="J45" s="23">
        <f t="shared" si="7"/>
        <v>0.03858725752</v>
      </c>
      <c r="K45" s="26">
        <f t="shared" si="8"/>
        <v>1521.743766</v>
      </c>
      <c r="L45" s="17">
        <f t="shared" si="9"/>
        <v>-160604.5298</v>
      </c>
      <c r="M45" s="4">
        <f t="shared" si="10"/>
        <v>3138968.511</v>
      </c>
      <c r="N45" s="25">
        <f t="shared" si="11"/>
        <v>-3299573.041</v>
      </c>
      <c r="O45" s="4">
        <f t="shared" si="12"/>
        <v>2782618.386</v>
      </c>
      <c r="P45" s="25">
        <f t="shared" si="13"/>
        <v>-2943222.915</v>
      </c>
    </row>
    <row r="46" ht="12.75" customHeight="1">
      <c r="A46" s="2">
        <v>3.0</v>
      </c>
      <c r="B46" s="20">
        <f t="shared" si="2"/>
        <v>0.388033514</v>
      </c>
      <c r="C46" s="2">
        <f t="shared" ref="C46:D46" si="14">C45</f>
        <v>0.05</v>
      </c>
      <c r="D46" s="23">
        <f t="shared" si="14"/>
        <v>0.05183937362</v>
      </c>
      <c r="E46" s="23">
        <f t="shared" si="4"/>
        <v>0.1481098187</v>
      </c>
      <c r="F46" s="23">
        <f t="shared" si="5"/>
        <v>0.1351433922</v>
      </c>
      <c r="G46" s="23"/>
      <c r="H46" s="17"/>
      <c r="I46" s="17">
        <f t="shared" si="6"/>
        <v>1420.955894</v>
      </c>
      <c r="J46" s="23">
        <f t="shared" si="7"/>
        <v>0.03787918781</v>
      </c>
      <c r="K46" s="26">
        <f t="shared" si="8"/>
        <v>1508.022793</v>
      </c>
      <c r="L46" s="17">
        <f t="shared" si="9"/>
        <v>696535.1898</v>
      </c>
      <c r="M46" s="4">
        <f t="shared" si="10"/>
        <v>2172061.01</v>
      </c>
      <c r="N46" s="25">
        <f t="shared" si="11"/>
        <v>-1475525.82</v>
      </c>
      <c r="O46" s="4">
        <f t="shared" si="12"/>
        <v>1925478.666</v>
      </c>
      <c r="P46" s="25">
        <f t="shared" si="13"/>
        <v>-1228943.476</v>
      </c>
    </row>
    <row r="47" ht="12.75" customHeight="1">
      <c r="A47" s="2">
        <v>4.0</v>
      </c>
      <c r="B47" s="20">
        <f t="shared" si="2"/>
        <v>0.3019208045</v>
      </c>
      <c r="C47" s="2">
        <f t="shared" ref="C47:D47" si="15">C46</f>
        <v>0.05</v>
      </c>
      <c r="D47" s="23">
        <f t="shared" si="15"/>
        <v>0.05183937362</v>
      </c>
      <c r="E47" s="23">
        <f t="shared" si="4"/>
        <v>0.1404694686</v>
      </c>
      <c r="F47" s="23">
        <f t="shared" si="5"/>
        <v>0.1314846008</v>
      </c>
      <c r="G47" s="23"/>
      <c r="H47" s="17"/>
      <c r="I47" s="17">
        <f t="shared" si="6"/>
        <v>1360.702703</v>
      </c>
      <c r="J47" s="23">
        <f t="shared" si="7"/>
        <v>0.03752619886</v>
      </c>
      <c r="K47" s="26">
        <f t="shared" si="8"/>
        <v>1501.182574</v>
      </c>
      <c r="L47" s="17">
        <f t="shared" si="9"/>
        <v>1123838.964</v>
      </c>
      <c r="M47" s="4">
        <f t="shared" si="10"/>
        <v>1690035.483</v>
      </c>
      <c r="N47" s="25">
        <f t="shared" si="11"/>
        <v>-566196.519</v>
      </c>
      <c r="O47" s="4">
        <f t="shared" si="12"/>
        <v>1498174.891</v>
      </c>
      <c r="P47" s="25">
        <f t="shared" si="13"/>
        <v>-374335.9272</v>
      </c>
    </row>
    <row r="48" ht="12.75" customHeight="1">
      <c r="A48" s="2">
        <v>5.0</v>
      </c>
      <c r="B48" s="20">
        <f t="shared" si="2"/>
        <v>0.2504564546</v>
      </c>
      <c r="C48" s="2">
        <f t="shared" ref="C48:D48" si="16">C47</f>
        <v>0.05</v>
      </c>
      <c r="D48" s="23">
        <f t="shared" si="16"/>
        <v>0.05183937362</v>
      </c>
      <c r="E48" s="23">
        <f t="shared" si="4"/>
        <v>0.1359032941</v>
      </c>
      <c r="F48" s="23">
        <f t="shared" si="5"/>
        <v>0.1292979629</v>
      </c>
      <c r="G48" s="23"/>
      <c r="H48" s="17"/>
      <c r="I48" s="17">
        <f t="shared" si="6"/>
        <v>1324.693021</v>
      </c>
      <c r="J48" s="23">
        <f t="shared" si="7"/>
        <v>0.03731523874</v>
      </c>
      <c r="K48" s="26">
        <f t="shared" si="8"/>
        <v>1497.094589</v>
      </c>
      <c r="L48" s="17">
        <f t="shared" si="9"/>
        <v>1379212.545</v>
      </c>
      <c r="M48" s="4">
        <f t="shared" si="10"/>
        <v>1401958.027</v>
      </c>
      <c r="N48" s="25">
        <f t="shared" si="11"/>
        <v>-22745.4821</v>
      </c>
      <c r="O48" s="4">
        <f t="shared" si="12"/>
        <v>1242801.311</v>
      </c>
      <c r="P48" s="25">
        <f t="shared" si="13"/>
        <v>136411.2334</v>
      </c>
    </row>
    <row r="49" ht="12.75" customHeight="1">
      <c r="A49" s="2">
        <v>6.0</v>
      </c>
      <c r="B49" s="20">
        <f t="shared" si="2"/>
        <v>0.2163153862</v>
      </c>
      <c r="C49" s="2">
        <f t="shared" ref="C49:D49" si="17">C48</f>
        <v>0.05</v>
      </c>
      <c r="D49" s="23">
        <f t="shared" si="17"/>
        <v>0.05183937362</v>
      </c>
      <c r="E49" s="23">
        <f t="shared" si="4"/>
        <v>0.1328741278</v>
      </c>
      <c r="F49" s="23">
        <f t="shared" si="5"/>
        <v>0.1278473635</v>
      </c>
      <c r="G49" s="23"/>
      <c r="H49" s="17"/>
      <c r="I49" s="17">
        <f t="shared" si="6"/>
        <v>1300.804465</v>
      </c>
      <c r="J49" s="23">
        <f t="shared" si="7"/>
        <v>0.03717528936</v>
      </c>
      <c r="K49" s="26">
        <f t="shared" si="8"/>
        <v>1494.382651</v>
      </c>
      <c r="L49" s="17">
        <f t="shared" si="9"/>
        <v>1548625.485</v>
      </c>
      <c r="M49" s="4">
        <f t="shared" si="10"/>
        <v>1210849.577</v>
      </c>
      <c r="N49" s="25">
        <f t="shared" si="11"/>
        <v>337775.9085</v>
      </c>
      <c r="O49" s="4">
        <f t="shared" si="12"/>
        <v>1073388.37</v>
      </c>
      <c r="P49" s="25">
        <f t="shared" si="13"/>
        <v>475237.1149</v>
      </c>
    </row>
    <row r="50" ht="12.75" customHeight="1">
      <c r="A50" s="2">
        <v>7.0</v>
      </c>
      <c r="B50" s="20">
        <f t="shared" si="2"/>
        <v>0.1920724014</v>
      </c>
      <c r="C50" s="2">
        <f t="shared" ref="C50:D50" si="18">C49</f>
        <v>0.05</v>
      </c>
      <c r="D50" s="23">
        <f t="shared" si="18"/>
        <v>0.05183937362</v>
      </c>
      <c r="E50" s="23">
        <f t="shared" si="4"/>
        <v>0.130723169</v>
      </c>
      <c r="F50" s="23">
        <f t="shared" si="5"/>
        <v>0.1268173179</v>
      </c>
      <c r="G50" s="23"/>
      <c r="H50" s="17"/>
      <c r="I50" s="17">
        <f t="shared" si="6"/>
        <v>1283.841613</v>
      </c>
      <c r="J50" s="23">
        <f t="shared" si="7"/>
        <v>0.03707591372</v>
      </c>
      <c r="K50" s="26">
        <f t="shared" si="8"/>
        <v>1492.45695</v>
      </c>
      <c r="L50" s="17">
        <f t="shared" si="9"/>
        <v>1668922.698</v>
      </c>
      <c r="M50" s="4">
        <f t="shared" si="10"/>
        <v>1075146.757</v>
      </c>
      <c r="N50" s="25">
        <f t="shared" si="11"/>
        <v>593775.9407</v>
      </c>
      <c r="O50" s="4">
        <f t="shared" si="12"/>
        <v>953091.1581</v>
      </c>
      <c r="P50" s="25">
        <f t="shared" si="13"/>
        <v>715831.5396</v>
      </c>
    </row>
    <row r="51" ht="12.75" customHeight="1">
      <c r="A51" s="2">
        <v>8.0</v>
      </c>
      <c r="B51" s="20">
        <f t="shared" si="2"/>
        <v>0.1740147606</v>
      </c>
      <c r="C51" s="2">
        <f t="shared" ref="C51:D51" si="19">C50</f>
        <v>0.05</v>
      </c>
      <c r="D51" s="23">
        <f t="shared" si="19"/>
        <v>0.05183937362</v>
      </c>
      <c r="E51" s="23">
        <f t="shared" si="4"/>
        <v>0.1291210048</v>
      </c>
      <c r="F51" s="23">
        <f t="shared" si="5"/>
        <v>0.1260500776</v>
      </c>
      <c r="G51" s="23"/>
      <c r="H51" s="17"/>
      <c r="I51" s="17">
        <f t="shared" si="6"/>
        <v>1271.206655</v>
      </c>
      <c r="J51" s="23">
        <f t="shared" si="7"/>
        <v>0.03700189273</v>
      </c>
      <c r="K51" s="26">
        <f t="shared" si="8"/>
        <v>1491.022571</v>
      </c>
      <c r="L51" s="17">
        <f t="shared" si="9"/>
        <v>1758527.335</v>
      </c>
      <c r="M51" s="4">
        <f t="shared" si="10"/>
        <v>974067.092</v>
      </c>
      <c r="N51" s="25">
        <f t="shared" si="11"/>
        <v>784460.2427</v>
      </c>
      <c r="O51" s="4">
        <f t="shared" si="12"/>
        <v>863486.521</v>
      </c>
      <c r="P51" s="25">
        <f t="shared" si="13"/>
        <v>895040.8137</v>
      </c>
    </row>
    <row r="52" ht="12.75" customHeight="1">
      <c r="A52" s="2">
        <v>9.0</v>
      </c>
      <c r="B52" s="20">
        <f t="shared" si="2"/>
        <v>0.1600797092</v>
      </c>
      <c r="C52" s="2">
        <f t="shared" ref="C52:D52" si="20">C51</f>
        <v>0.05</v>
      </c>
      <c r="D52" s="23">
        <f t="shared" si="20"/>
        <v>0.05183937362</v>
      </c>
      <c r="E52" s="23">
        <f t="shared" si="4"/>
        <v>0.1278846174</v>
      </c>
      <c r="F52" s="23">
        <f t="shared" si="5"/>
        <v>0.1254579996</v>
      </c>
      <c r="G52" s="23"/>
      <c r="H52" s="17"/>
      <c r="I52" s="17">
        <f t="shared" si="6"/>
        <v>1261.456278</v>
      </c>
      <c r="J52" s="23">
        <f t="shared" si="7"/>
        <v>0.03694477086</v>
      </c>
      <c r="K52" s="26">
        <f t="shared" si="8"/>
        <v>1489.915664</v>
      </c>
      <c r="L52" s="17">
        <f t="shared" si="9"/>
        <v>1827675.084</v>
      </c>
      <c r="M52" s="4">
        <f t="shared" si="10"/>
        <v>896064.0826</v>
      </c>
      <c r="N52" s="25">
        <f t="shared" si="11"/>
        <v>931611.0016</v>
      </c>
      <c r="O52" s="4">
        <f t="shared" si="12"/>
        <v>794338.7716</v>
      </c>
      <c r="P52" s="25">
        <f t="shared" si="13"/>
        <v>1033336.313</v>
      </c>
    </row>
    <row r="53" ht="12.75" customHeight="1">
      <c r="A53" s="2">
        <v>10.0</v>
      </c>
      <c r="B53" s="20">
        <f t="shared" si="2"/>
        <v>0.1490294887</v>
      </c>
      <c r="C53" s="2">
        <f t="shared" ref="C53:D53" si="21">C52</f>
        <v>0.05</v>
      </c>
      <c r="D53" s="23">
        <f t="shared" si="21"/>
        <v>0.05183937362</v>
      </c>
      <c r="E53" s="23">
        <f t="shared" si="4"/>
        <v>0.1269041866</v>
      </c>
      <c r="F53" s="23">
        <f t="shared" si="5"/>
        <v>0.1249884934</v>
      </c>
      <c r="G53" s="23"/>
      <c r="H53" s="17"/>
      <c r="I53" s="17">
        <f t="shared" si="6"/>
        <v>1253.724423</v>
      </c>
      <c r="J53" s="23">
        <f t="shared" si="7"/>
        <v>0.03689947434</v>
      </c>
      <c r="K53" s="26">
        <f t="shared" si="8"/>
        <v>1489.037908</v>
      </c>
      <c r="L53" s="17">
        <f t="shared" si="9"/>
        <v>1882507.883</v>
      </c>
      <c r="M53" s="4">
        <f t="shared" si="10"/>
        <v>834209.2371</v>
      </c>
      <c r="N53" s="25">
        <f t="shared" si="11"/>
        <v>1048298.646</v>
      </c>
      <c r="O53" s="4">
        <f t="shared" si="12"/>
        <v>739505.9723</v>
      </c>
      <c r="P53" s="25">
        <f t="shared" si="13"/>
        <v>1143001.911</v>
      </c>
    </row>
    <row r="54" ht="12.75" customHeight="1"/>
    <row r="55" ht="12.75" customHeight="1"/>
    <row r="56" ht="12.75" customHeight="1">
      <c r="A56" s="21" t="s">
        <v>87</v>
      </c>
      <c r="B56" s="22"/>
      <c r="C56" s="2"/>
    </row>
    <row r="57" ht="12.75" customHeight="1">
      <c r="A57" s="21" t="s">
        <v>67</v>
      </c>
      <c r="B57" s="22"/>
      <c r="C57" s="25">
        <f>B38</f>
        <v>5597611.885</v>
      </c>
    </row>
    <row r="58" ht="12.75" customHeight="1">
      <c r="A58" s="21" t="s">
        <v>88</v>
      </c>
      <c r="B58" s="22"/>
      <c r="C58" s="17">
        <f>L48</f>
        <v>1379212.545</v>
      </c>
    </row>
    <row r="59" ht="12.75" customHeight="1">
      <c r="A59" s="21" t="s">
        <v>89</v>
      </c>
      <c r="B59" s="22"/>
      <c r="C59" s="2">
        <v>0.08</v>
      </c>
    </row>
    <row r="60" ht="12.75" customHeight="1">
      <c r="A60" s="21" t="s">
        <v>90</v>
      </c>
      <c r="B60" s="22"/>
      <c r="C60" s="2">
        <v>5.0</v>
      </c>
    </row>
    <row r="61" ht="12.75" customHeight="1">
      <c r="A61" s="21" t="s">
        <v>91</v>
      </c>
      <c r="B61" s="22"/>
      <c r="C61" s="5">
        <f>NPER(C59,C58,-C57)</f>
        <v>5.100961481</v>
      </c>
    </row>
    <row r="62" ht="12.75" customHeight="1"/>
    <row r="63" ht="12.75" customHeight="1">
      <c r="A63" s="21" t="s">
        <v>74</v>
      </c>
      <c r="B63" s="22"/>
      <c r="C63" s="2"/>
    </row>
    <row r="64" ht="12.75" customHeight="1">
      <c r="A64" s="21" t="s">
        <v>67</v>
      </c>
      <c r="B64" s="22"/>
      <c r="C64" s="25">
        <f>B41</f>
        <v>4962145.269</v>
      </c>
    </row>
    <row r="65" ht="12.75" customHeight="1">
      <c r="A65" s="21" t="s">
        <v>88</v>
      </c>
      <c r="B65" s="22"/>
      <c r="C65" s="17">
        <f t="shared" ref="C65:C67" si="22">C58</f>
        <v>1379212.545</v>
      </c>
    </row>
    <row r="66" ht="12.75" customHeight="1">
      <c r="A66" s="21" t="s">
        <v>89</v>
      </c>
      <c r="B66" s="22"/>
      <c r="C66" s="2">
        <f t="shared" si="22"/>
        <v>0.08</v>
      </c>
    </row>
    <row r="67" ht="12.75" customHeight="1">
      <c r="A67" s="21" t="s">
        <v>90</v>
      </c>
      <c r="B67" s="22"/>
      <c r="C67" s="2">
        <f t="shared" si="22"/>
        <v>5</v>
      </c>
    </row>
    <row r="68" ht="12.75" customHeight="1">
      <c r="A68" s="21" t="s">
        <v>91</v>
      </c>
      <c r="B68" s="22"/>
      <c r="C68" s="5">
        <f>NPER(C66,C65,-C64)</f>
        <v>4.410431213</v>
      </c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">
    <mergeCell ref="A61:B61"/>
    <mergeCell ref="A63:B63"/>
    <mergeCell ref="A64:B64"/>
    <mergeCell ref="A65:B65"/>
    <mergeCell ref="A66:B66"/>
    <mergeCell ref="A67:B67"/>
    <mergeCell ref="A68:B68"/>
    <mergeCell ref="G14:I14"/>
    <mergeCell ref="G34:H34"/>
    <mergeCell ref="A56:B56"/>
    <mergeCell ref="A57:B57"/>
    <mergeCell ref="A58:B58"/>
    <mergeCell ref="A59:B59"/>
    <mergeCell ref="A60:B60"/>
  </mergeCells>
  <printOptions/>
  <pageMargins bottom="0.75" footer="0.0" header="0.0" left="0.7" right="0.7" top="0.75"/>
  <pageSetup orientation="landscape"/>
  <drawing r:id="rId1"/>
</worksheet>
</file>