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áf4" sheetId="1" r:id="rId4"/>
    <sheet state="visible" name="Plan1" sheetId="2" r:id="rId5"/>
  </sheets>
  <definedNames/>
  <calcPr/>
</workbook>
</file>

<file path=xl/sharedStrings.xml><?xml version="1.0" encoding="utf-8"?>
<sst xmlns="http://schemas.openxmlformats.org/spreadsheetml/2006/main" count="93" uniqueCount="72">
  <si>
    <t>Convencional</t>
  </si>
  <si>
    <t>Ponto</t>
  </si>
  <si>
    <t>P</t>
  </si>
  <si>
    <t>T</t>
  </si>
  <si>
    <t>h</t>
  </si>
  <si>
    <t>s</t>
  </si>
  <si>
    <t>e</t>
  </si>
  <si>
    <t>mc conv</t>
  </si>
  <si>
    <t>0,5 liq sat</t>
  </si>
  <si>
    <t>Ecomb conv</t>
  </si>
  <si>
    <t>0,6 liq co</t>
  </si>
  <si>
    <t>0,1 liq sat</t>
  </si>
  <si>
    <t>0,5 liq comp</t>
  </si>
  <si>
    <t>5 liq comp</t>
  </si>
  <si>
    <t>nmtv</t>
  </si>
  <si>
    <t>nger</t>
  </si>
  <si>
    <t>Ho</t>
  </si>
  <si>
    <t>H</t>
  </si>
  <si>
    <t>So</t>
  </si>
  <si>
    <t>mv kg/s</t>
  </si>
  <si>
    <t>To</t>
  </si>
  <si>
    <t>Er</t>
  </si>
  <si>
    <t>m1</t>
  </si>
  <si>
    <t>mc</t>
  </si>
  <si>
    <t>PCI</t>
  </si>
  <si>
    <t>Ecomb</t>
  </si>
  <si>
    <t>ncal</t>
  </si>
  <si>
    <t>Pel</t>
  </si>
  <si>
    <t>m3</t>
  </si>
  <si>
    <t xml:space="preserve">Taxa </t>
  </si>
  <si>
    <t>K anos</t>
  </si>
  <si>
    <t>f=</t>
  </si>
  <si>
    <t>rendimento do sistema</t>
  </si>
  <si>
    <t>Ccal</t>
  </si>
  <si>
    <t>n ele</t>
  </si>
  <si>
    <t>Wb2</t>
  </si>
  <si>
    <t>Wb</t>
  </si>
  <si>
    <t>n global 1a</t>
  </si>
  <si>
    <t>Cb2</t>
  </si>
  <si>
    <t>Cb</t>
  </si>
  <si>
    <t>n global 2a</t>
  </si>
  <si>
    <t>Wb1</t>
  </si>
  <si>
    <t>Cb1</t>
  </si>
  <si>
    <t>Ep</t>
  </si>
  <si>
    <t>Custo do sistema de cogeração</t>
  </si>
  <si>
    <t>Ctv</t>
  </si>
  <si>
    <t>US$/kW</t>
  </si>
  <si>
    <t>Invest</t>
  </si>
  <si>
    <t>Hvp</t>
  </si>
  <si>
    <t>Evp</t>
  </si>
  <si>
    <t>Sist Novo</t>
  </si>
  <si>
    <t>troca do sistema</t>
  </si>
  <si>
    <t>Sistema Novo</t>
  </si>
  <si>
    <t>k anos</t>
  </si>
  <si>
    <t>f</t>
  </si>
  <si>
    <t>Pcomb</t>
  </si>
  <si>
    <t>cvh</t>
  </si>
  <si>
    <t>cve</t>
  </si>
  <si>
    <t>celh</t>
  </si>
  <si>
    <t>cele</t>
  </si>
  <si>
    <t>Cmanh</t>
  </si>
  <si>
    <t>Cmane</t>
  </si>
  <si>
    <t>cvh conv</t>
  </si>
  <si>
    <t>Cman conv</t>
  </si>
  <si>
    <t>GPEL</t>
  </si>
  <si>
    <t>Pgto Inv</t>
  </si>
  <si>
    <t>Resultado</t>
  </si>
  <si>
    <t>Troca do sistema</t>
  </si>
  <si>
    <t>Economia anual</t>
  </si>
  <si>
    <t>Taxa de juros</t>
  </si>
  <si>
    <t>periodo do emprestimo</t>
  </si>
  <si>
    <t>Payback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</si>
</sst>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_(* #,##0.0000_);_(* \(#,##0.0000\);_(* &quot;-&quot;??_);_(@_)"/>
    <numFmt numFmtId="166" formatCode="_(* #,##0_);_(* \(#,##0\);_(* &quot;-&quot;??_);_(@_)"/>
    <numFmt numFmtId="167" formatCode="_-* #,##0.00_-;\-* #,##0.00_-;_-* &quot;-&quot;??_-;_-@"/>
    <numFmt numFmtId="168" formatCode="0.000"/>
    <numFmt numFmtId="169" formatCode="0.0000"/>
    <numFmt numFmtId="170" formatCode="_(* #,##0.00_);_(* \(#,##0.00\);_(* &quot;-&quot;??_);_(@_)"/>
    <numFmt numFmtId="171" formatCode="_-* #,##0_-;\-* #,##0_-;_-* &quot;-&quot;????_-;_-@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shrinkToFit="0" vertical="bottom" wrapText="0"/>
    </xf>
    <xf borderId="1" fillId="0" fontId="2" numFmtId="164" xfId="0" applyAlignment="1" applyBorder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7" xfId="0" applyAlignment="1" applyFont="1" applyNumberFormat="1">
      <alignment shrinkToFit="0" vertical="bottom" wrapText="0"/>
    </xf>
    <xf borderId="1" fillId="0" fontId="2" numFmtId="168" xfId="0" applyAlignment="1" applyBorder="1" applyFont="1" applyNumberFormat="1">
      <alignment shrinkToFit="0" vertical="bottom" wrapText="0"/>
    </xf>
    <xf borderId="1" fillId="0" fontId="2" numFmtId="169" xfId="0" applyAlignment="1" applyBorder="1" applyFont="1" applyNumberFormat="1">
      <alignment shrinkToFit="0" vertical="bottom" wrapText="0"/>
    </xf>
    <xf borderId="1" fillId="0" fontId="2" numFmtId="166" xfId="0" applyAlignment="1" applyBorder="1" applyFont="1" applyNumberFormat="1">
      <alignment shrinkToFit="0" vertical="bottom" wrapText="0"/>
    </xf>
    <xf borderId="2" fillId="0" fontId="2" numFmtId="165" xfId="0" applyAlignment="1" applyBorder="1" applyFont="1" applyNumberFormat="1">
      <alignment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1" fillId="0" fontId="2" numFmtId="170" xfId="0" applyAlignment="1" applyBorder="1" applyFont="1" applyNumberFormat="1">
      <alignment shrinkToFit="0" vertical="bottom" wrapText="0"/>
    </xf>
    <xf borderId="1" fillId="0" fontId="2" numFmtId="165" xfId="0" applyAlignment="1" applyBorder="1" applyFont="1" applyNumberFormat="1">
      <alignment shrinkToFit="0" vertical="bottom" wrapText="0"/>
    </xf>
    <xf borderId="1" fillId="0" fontId="2" numFmtId="167" xfId="0" applyAlignment="1" applyBorder="1" applyFont="1" applyNumberFormat="1">
      <alignment shrinkToFit="0" vertical="bottom" wrapText="0"/>
    </xf>
    <xf borderId="1" fillId="0" fontId="2" numFmtId="171" xfId="0" applyAlignment="1" applyBorder="1" applyFont="1" applyNumberFormat="1">
      <alignment shrinkToFit="0" vertical="bottom" wrapText="0"/>
    </xf>
    <xf borderId="1" fillId="0" fontId="2" numFmtId="2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spPr>
            <a:ln cmpd="sng" w="28575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Plan1!$N$39:$N$48</c:f>
              <c:numCache/>
            </c:numRef>
          </c:val>
          <c:smooth val="0"/>
        </c:ser>
        <c:ser>
          <c:idx val="1"/>
          <c:order val="1"/>
          <c:spPr>
            <a:ln cmpd="sng" w="28575">
              <a:solidFill>
                <a:srgbClr val="993366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Plan1!$P$39:$P$48</c:f>
              <c:numCache/>
            </c:numRef>
          </c:val>
          <c:smooth val="0"/>
        </c:ser>
        <c:axId val="885125576"/>
        <c:axId val="2052900552"/>
      </c:lineChart>
      <c:catAx>
        <c:axId val="88512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2900552"/>
      </c:catAx>
      <c:valAx>
        <c:axId val="20529005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51255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descr="Chart 0"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25"/>
    <col customWidth="1" min="2" max="3" width="13.63"/>
    <col customWidth="1" min="4" max="4" width="13.13"/>
    <col customWidth="1" min="5" max="5" width="13.63"/>
    <col customWidth="1" min="6" max="6" width="9.25"/>
    <col customWidth="1" min="7" max="7" width="10.13"/>
    <col customWidth="1" min="8" max="10" width="9.25"/>
    <col customWidth="1" min="11" max="11" width="11.38"/>
    <col customWidth="1" min="12" max="12" width="11.75"/>
    <col customWidth="1" min="13" max="13" width="10.13"/>
    <col customWidth="1" min="14" max="14" width="15.13"/>
    <col customWidth="1" min="15" max="15" width="11.38"/>
    <col customWidth="1" min="16" max="16" width="15.25"/>
    <col customWidth="1" min="17" max="17" width="13.13"/>
    <col customWidth="1" min="18" max="26" width="8.0"/>
  </cols>
  <sheetData>
    <row r="1" ht="12.75" customHeight="1"/>
    <row r="2" ht="12.75" customHeight="1">
      <c r="H2" s="1" t="s">
        <v>0</v>
      </c>
    </row>
    <row r="3" ht="12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H3" s="2" t="s">
        <v>1</v>
      </c>
      <c r="I3" s="2" t="s">
        <v>2</v>
      </c>
      <c r="J3" s="2" t="s">
        <v>3</v>
      </c>
      <c r="K3" s="2" t="s">
        <v>4</v>
      </c>
    </row>
    <row r="4" ht="12.75" customHeight="1">
      <c r="A4" s="2">
        <v>1.0</v>
      </c>
      <c r="B4" s="2">
        <v>5.0</v>
      </c>
      <c r="C4" s="2">
        <v>450.0</v>
      </c>
      <c r="D4" s="2">
        <v>3316.1</v>
      </c>
      <c r="E4" s="2">
        <v>6.8185</v>
      </c>
      <c r="F4" s="2">
        <f t="shared" ref="F4:F11" si="1">(D4-$B$15)-$B$17*(E4-$B$16)</f>
        <v>1288.7724</v>
      </c>
      <c r="H4" s="2">
        <v>1.0</v>
      </c>
      <c r="I4" s="2">
        <v>0.6</v>
      </c>
      <c r="J4" s="2"/>
      <c r="K4" s="2">
        <v>2757.0</v>
      </c>
      <c r="M4" s="2" t="s">
        <v>7</v>
      </c>
      <c r="N4" s="2">
        <f>E16*(K4-K6)/(B21*B20)</f>
        <v>0.2932076888</v>
      </c>
    </row>
    <row r="5" ht="12.75" customHeight="1">
      <c r="A5" s="2">
        <v>2.0</v>
      </c>
      <c r="B5" s="2">
        <v>0.6</v>
      </c>
      <c r="C5" s="2">
        <v>206.0</v>
      </c>
      <c r="D5" s="2">
        <v>2863.0</v>
      </c>
      <c r="E5" s="2">
        <v>6.992</v>
      </c>
      <c r="F5" s="2">
        <f t="shared" si="1"/>
        <v>783.9694</v>
      </c>
      <c r="H5" s="2">
        <v>2.0</v>
      </c>
      <c r="I5" s="2" t="s">
        <v>8</v>
      </c>
      <c r="J5" s="2"/>
      <c r="K5" s="2">
        <v>640.21</v>
      </c>
      <c r="M5" s="2" t="s">
        <v>9</v>
      </c>
      <c r="N5" s="2">
        <f>N4*B20</f>
        <v>14064</v>
      </c>
    </row>
    <row r="6" ht="12.75" customHeight="1">
      <c r="A6" s="2">
        <v>3.0</v>
      </c>
      <c r="B6" s="2">
        <v>0.1</v>
      </c>
      <c r="C6" s="2">
        <v>100.0</v>
      </c>
      <c r="D6" s="2">
        <v>2587.6</v>
      </c>
      <c r="E6" s="2">
        <v>7.124</v>
      </c>
      <c r="F6" s="2">
        <f t="shared" si="1"/>
        <v>469.2334</v>
      </c>
      <c r="H6" s="2">
        <v>3.0</v>
      </c>
      <c r="I6" s="2" t="s">
        <v>10</v>
      </c>
      <c r="J6" s="2"/>
      <c r="K6" s="2">
        <v>647.4</v>
      </c>
    </row>
    <row r="7" ht="12.75" customHeight="1">
      <c r="A7" s="2">
        <v>4.0</v>
      </c>
      <c r="B7" s="2" t="s">
        <v>8</v>
      </c>
      <c r="C7" s="2">
        <v>152.0</v>
      </c>
      <c r="D7" s="2">
        <v>640.21</v>
      </c>
      <c r="E7" s="2">
        <v>1.8606</v>
      </c>
      <c r="F7" s="2">
        <f t="shared" si="1"/>
        <v>90.3366</v>
      </c>
    </row>
    <row r="8" ht="12.75" customHeight="1">
      <c r="A8" s="2">
        <v>5.0</v>
      </c>
      <c r="B8" s="2" t="s">
        <v>11</v>
      </c>
      <c r="C8" s="2">
        <v>100.0</v>
      </c>
      <c r="D8" s="2">
        <v>417.44</v>
      </c>
      <c r="E8" s="2">
        <v>1.3025</v>
      </c>
      <c r="F8" s="2">
        <f t="shared" si="1"/>
        <v>33.8804</v>
      </c>
    </row>
    <row r="9" ht="12.75" customHeight="1">
      <c r="A9" s="2">
        <v>6.0</v>
      </c>
      <c r="B9" s="2" t="s">
        <v>12</v>
      </c>
      <c r="C9" s="2">
        <v>128.0</v>
      </c>
      <c r="D9" s="3">
        <f>(E16*D7+B22*D11)/B19</f>
        <v>539.9782521</v>
      </c>
      <c r="E9" s="2">
        <v>1.618</v>
      </c>
      <c r="F9" s="3">
        <f t="shared" si="1"/>
        <v>62.39965211</v>
      </c>
    </row>
    <row r="10" ht="12.75" customHeight="1">
      <c r="A10" s="2">
        <v>7.0</v>
      </c>
      <c r="B10" s="2" t="s">
        <v>13</v>
      </c>
      <c r="C10" s="2">
        <v>129.0</v>
      </c>
      <c r="D10" s="2">
        <v>546.4</v>
      </c>
      <c r="E10" s="2">
        <v>1.622</v>
      </c>
      <c r="F10" s="2">
        <f t="shared" si="1"/>
        <v>67.6294</v>
      </c>
    </row>
    <row r="11" ht="12.75" customHeight="1">
      <c r="A11" s="2">
        <v>8.0</v>
      </c>
      <c r="B11" s="2" t="s">
        <v>12</v>
      </c>
      <c r="C11" s="2">
        <v>100.0</v>
      </c>
      <c r="D11" s="2">
        <v>418.05</v>
      </c>
      <c r="E11" s="2">
        <v>1.303</v>
      </c>
      <c r="F11" s="2">
        <f t="shared" si="1"/>
        <v>34.3414</v>
      </c>
    </row>
    <row r="12" ht="12.75" customHeight="1">
      <c r="A12" s="4"/>
      <c r="B12" s="4"/>
      <c r="C12" s="4"/>
      <c r="D12" s="4"/>
      <c r="E12" s="4"/>
      <c r="F12" s="4"/>
    </row>
    <row r="13" ht="12.75" customHeight="1">
      <c r="A13" s="4"/>
      <c r="B13" s="4"/>
      <c r="C13" s="4"/>
      <c r="D13" s="2" t="s">
        <v>14</v>
      </c>
      <c r="E13" s="2">
        <v>0.98</v>
      </c>
      <c r="F13" s="4"/>
    </row>
    <row r="14" ht="12.75" customHeight="1">
      <c r="D14" s="2" t="s">
        <v>15</v>
      </c>
      <c r="E14" s="2">
        <v>0.97</v>
      </c>
    </row>
    <row r="15" ht="12.75" customHeight="1">
      <c r="A15" s="2" t="s">
        <v>16</v>
      </c>
      <c r="B15" s="2">
        <v>104.87</v>
      </c>
      <c r="D15" s="2" t="s">
        <v>17</v>
      </c>
      <c r="E15" s="2">
        <v>8000.0</v>
      </c>
    </row>
    <row r="16" ht="12.75" customHeight="1">
      <c r="A16" s="2" t="s">
        <v>18</v>
      </c>
      <c r="B16" s="2">
        <v>0.3673</v>
      </c>
      <c r="D16" s="2" t="s">
        <v>19</v>
      </c>
      <c r="E16" s="2">
        <v>6.0</v>
      </c>
      <c r="I16" s="5"/>
      <c r="J16" s="5"/>
      <c r="K16" s="5"/>
      <c r="L16" s="5"/>
      <c r="M16" s="6"/>
      <c r="N16" s="6"/>
      <c r="O16" s="6"/>
      <c r="P16" s="7"/>
      <c r="Q16" s="8"/>
    </row>
    <row r="17" ht="12.75" customHeight="1">
      <c r="A17" s="2" t="s">
        <v>20</v>
      </c>
      <c r="B17" s="2">
        <v>298.0</v>
      </c>
      <c r="I17" s="5"/>
      <c r="J17" s="5"/>
      <c r="K17" s="5"/>
      <c r="L17" s="5"/>
      <c r="M17" s="6"/>
      <c r="N17" s="6"/>
      <c r="O17" s="6"/>
      <c r="P17" s="7"/>
      <c r="Q17" s="8"/>
    </row>
    <row r="18" ht="12.75" customHeight="1">
      <c r="D18" s="2" t="s">
        <v>21</v>
      </c>
      <c r="E18" s="2">
        <v>6000.0</v>
      </c>
      <c r="I18" s="5"/>
      <c r="J18" s="5"/>
      <c r="K18" s="5"/>
      <c r="L18" s="5"/>
      <c r="M18" s="6"/>
      <c r="N18" s="6"/>
      <c r="O18" s="6"/>
      <c r="P18" s="7"/>
      <c r="Q18" s="8"/>
    </row>
    <row r="19" ht="12.75" customHeight="1">
      <c r="A19" s="2" t="s">
        <v>22</v>
      </c>
      <c r="B19" s="9">
        <f>((E18/(E13*E14)+E16*(D5-D6)))/(D4-D6)</f>
        <v>10.93233092</v>
      </c>
      <c r="D19" s="2" t="s">
        <v>23</v>
      </c>
      <c r="E19" s="10">
        <f>B19*(D4-D10)/(B21*B20)</f>
        <v>0.7014060176</v>
      </c>
      <c r="I19" s="5"/>
      <c r="J19" s="5"/>
      <c r="K19" s="5"/>
      <c r="L19" s="5"/>
      <c r="M19" s="6"/>
      <c r="N19" s="6"/>
      <c r="O19" s="6"/>
      <c r="P19" s="7"/>
      <c r="Q19" s="8"/>
    </row>
    <row r="20" ht="12.75" customHeight="1">
      <c r="A20" s="2" t="s">
        <v>24</v>
      </c>
      <c r="B20" s="2">
        <v>47966.0</v>
      </c>
      <c r="D20" s="2" t="s">
        <v>25</v>
      </c>
      <c r="E20" s="11">
        <f>E19*B20</f>
        <v>33643.64104</v>
      </c>
      <c r="I20" s="5"/>
      <c r="J20" s="5"/>
      <c r="K20" s="5"/>
      <c r="L20" s="5"/>
      <c r="M20" s="6"/>
      <c r="N20" s="6"/>
      <c r="O20" s="6"/>
      <c r="P20" s="7"/>
      <c r="Q20" s="8"/>
    </row>
    <row r="21" ht="12.75" customHeight="1">
      <c r="A21" s="2" t="s">
        <v>26</v>
      </c>
      <c r="B21" s="2">
        <v>0.9</v>
      </c>
      <c r="D21" s="2" t="s">
        <v>27</v>
      </c>
      <c r="E21" s="2">
        <v>0.129</v>
      </c>
      <c r="I21" s="5"/>
      <c r="J21" s="5"/>
      <c r="K21" s="5"/>
      <c r="L21" s="5"/>
      <c r="M21" s="6"/>
      <c r="N21" s="6"/>
      <c r="O21" s="6"/>
      <c r="P21" s="7"/>
      <c r="Q21" s="8"/>
    </row>
    <row r="22" ht="12.75" customHeight="1">
      <c r="A22" s="2" t="s">
        <v>28</v>
      </c>
      <c r="B22" s="9">
        <f>B19-E16</f>
        <v>4.932330915</v>
      </c>
      <c r="I22" s="5"/>
      <c r="J22" s="5"/>
      <c r="K22" s="5"/>
      <c r="L22" s="5"/>
      <c r="M22" s="6"/>
      <c r="N22" s="6"/>
      <c r="O22" s="6"/>
      <c r="P22" s="7"/>
      <c r="Q22" s="8"/>
    </row>
    <row r="23" ht="12.75" customHeight="1">
      <c r="A23" s="2" t="s">
        <v>29</v>
      </c>
      <c r="B23" s="2">
        <v>0.08</v>
      </c>
      <c r="C23" s="2"/>
      <c r="D23" s="2"/>
      <c r="I23" s="5"/>
      <c r="J23" s="5"/>
      <c r="K23" s="5"/>
      <c r="L23" s="5"/>
      <c r="M23" s="6"/>
      <c r="N23" s="6"/>
      <c r="O23" s="6"/>
      <c r="P23" s="7"/>
      <c r="Q23" s="8"/>
    </row>
    <row r="24" ht="12.75" customHeight="1">
      <c r="A24" s="2" t="s">
        <v>30</v>
      </c>
      <c r="B24" s="2">
        <v>5.0</v>
      </c>
      <c r="C24" s="2" t="s">
        <v>31</v>
      </c>
      <c r="D24" s="12">
        <f>PMT(B23,B24,-1)</f>
        <v>0.2504564546</v>
      </c>
      <c r="I24" s="5"/>
      <c r="J24" s="5"/>
      <c r="K24" s="5"/>
      <c r="L24" s="5"/>
      <c r="M24" s="6"/>
      <c r="N24" s="6"/>
      <c r="O24" s="6"/>
      <c r="P24" s="7"/>
      <c r="Q24" s="8"/>
    </row>
    <row r="25" ht="12.75" customHeight="1">
      <c r="D25" s="2" t="s">
        <v>0</v>
      </c>
      <c r="E25" s="2"/>
      <c r="G25" s="13" t="s">
        <v>32</v>
      </c>
      <c r="H25" s="14"/>
      <c r="I25" s="5"/>
      <c r="J25" s="5"/>
      <c r="K25" s="5"/>
      <c r="L25" s="5"/>
      <c r="M25" s="6"/>
      <c r="N25" s="6"/>
      <c r="O25" s="6"/>
      <c r="P25" s="7"/>
      <c r="Q25" s="8"/>
    </row>
    <row r="26" ht="12.75" customHeight="1">
      <c r="A26" s="2" t="s">
        <v>33</v>
      </c>
      <c r="B26" s="15">
        <f>155*D4*B19^0.37*EXP((B4-2)/5.26)</f>
        <v>2202822.551</v>
      </c>
      <c r="D26" s="2" t="s">
        <v>33</v>
      </c>
      <c r="E26" s="15">
        <f>155*K4*E16^0.37*EXP((0.6-2)/5.26)</f>
        <v>635466.6156</v>
      </c>
      <c r="G26" s="2" t="s">
        <v>34</v>
      </c>
      <c r="H26" s="16">
        <f>(B31-B29-B27)/E20</f>
        <v>0.17616365</v>
      </c>
      <c r="I26" s="5"/>
      <c r="J26" s="5"/>
      <c r="K26" s="5"/>
      <c r="L26" s="5"/>
      <c r="M26" s="6"/>
      <c r="N26" s="6"/>
      <c r="O26" s="6"/>
      <c r="P26" s="7"/>
      <c r="Q26" s="8"/>
    </row>
    <row r="27" ht="12.75" customHeight="1">
      <c r="A27" s="2" t="s">
        <v>35</v>
      </c>
      <c r="B27" s="3">
        <f>B19*(D10-D9)</f>
        <v>70.20467297</v>
      </c>
      <c r="D27" s="2" t="s">
        <v>36</v>
      </c>
      <c r="E27" s="2">
        <v>0.0</v>
      </c>
      <c r="G27" s="2" t="s">
        <v>37</v>
      </c>
      <c r="H27" s="16">
        <f>(B31-B27-B29+B34)/E20</f>
        <v>0.5725755599</v>
      </c>
    </row>
    <row r="28" ht="12.75" customHeight="1">
      <c r="A28" s="2" t="s">
        <v>38</v>
      </c>
      <c r="B28" s="11">
        <f>4990*B27^0.71</f>
        <v>102098.7489</v>
      </c>
      <c r="D28" s="2" t="s">
        <v>39</v>
      </c>
      <c r="E28" s="11">
        <f>4990*E27^0.71</f>
        <v>0</v>
      </c>
      <c r="G28" s="2" t="s">
        <v>40</v>
      </c>
      <c r="H28" s="16">
        <f>(B31-B27-B29+B35)/E20</f>
        <v>0.2998659804</v>
      </c>
    </row>
    <row r="29" ht="12.75" customHeight="1">
      <c r="A29" s="2" t="s">
        <v>41</v>
      </c>
      <c r="B29" s="3">
        <f>B22*(D11-D8)</f>
        <v>3.008721858</v>
      </c>
      <c r="D29" s="2"/>
      <c r="E29" s="11"/>
    </row>
    <row r="30" ht="12.75" customHeight="1">
      <c r="A30" s="2" t="s">
        <v>42</v>
      </c>
      <c r="B30" s="11">
        <f>4990*B29^0.71</f>
        <v>10908.16742</v>
      </c>
      <c r="D30" s="2"/>
      <c r="E30" s="11"/>
    </row>
    <row r="31" ht="12.75" customHeight="1">
      <c r="A31" s="2" t="s">
        <v>43</v>
      </c>
      <c r="B31" s="11">
        <f>E18</f>
        <v>6000</v>
      </c>
      <c r="D31" s="2" t="s">
        <v>43</v>
      </c>
      <c r="E31" s="2">
        <v>6000.0</v>
      </c>
      <c r="G31" s="1" t="s">
        <v>44</v>
      </c>
    </row>
    <row r="32" ht="12.75" customHeight="1">
      <c r="A32" s="2" t="s">
        <v>45</v>
      </c>
      <c r="B32" s="11">
        <f>6000*B31^0.7</f>
        <v>2647628.977</v>
      </c>
      <c r="D32" s="2"/>
      <c r="E32" s="2"/>
      <c r="G32" s="8">
        <f>B33/B31</f>
        <v>827.2430742</v>
      </c>
      <c r="H32" s="1" t="s">
        <v>46</v>
      </c>
    </row>
    <row r="33" ht="12.75" customHeight="1">
      <c r="A33" s="2" t="s">
        <v>47</v>
      </c>
      <c r="B33" s="17">
        <f>B26+B28+B32+B30</f>
        <v>4963458.445</v>
      </c>
      <c r="D33" s="2" t="s">
        <v>47</v>
      </c>
      <c r="E33" s="17">
        <f>E26+E28</f>
        <v>635466.6156</v>
      </c>
    </row>
    <row r="34" ht="12.75" customHeight="1">
      <c r="A34" s="2" t="s">
        <v>48</v>
      </c>
      <c r="B34" s="11">
        <f>E16*(D5-D7)</f>
        <v>13336.74</v>
      </c>
      <c r="D34" s="2" t="s">
        <v>48</v>
      </c>
      <c r="E34" s="2">
        <f>B19*(K4-K5)</f>
        <v>23141.44876</v>
      </c>
    </row>
    <row r="35" ht="12.75" customHeight="1">
      <c r="A35" s="2" t="s">
        <v>49</v>
      </c>
      <c r="B35" s="11">
        <f>E16*(F5-F7)</f>
        <v>4161.7968</v>
      </c>
      <c r="D35" s="2" t="s">
        <v>49</v>
      </c>
      <c r="E35" s="2"/>
    </row>
    <row r="36" ht="12.75" customHeight="1">
      <c r="A36" s="2" t="s">
        <v>50</v>
      </c>
      <c r="B36" s="17">
        <f>B33-E26</f>
        <v>4327991.829</v>
      </c>
    </row>
    <row r="37" ht="12.75" customHeight="1">
      <c r="M37" s="1" t="s">
        <v>51</v>
      </c>
      <c r="O37" s="1" t="s">
        <v>52</v>
      </c>
    </row>
    <row r="38" ht="12.75" customHeight="1">
      <c r="A38" s="2" t="s">
        <v>53</v>
      </c>
      <c r="B38" s="2" t="s">
        <v>54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" t="s">
        <v>60</v>
      </c>
      <c r="I38" s="2" t="s">
        <v>61</v>
      </c>
      <c r="J38" s="2" t="s">
        <v>62</v>
      </c>
      <c r="K38" s="2" t="s">
        <v>63</v>
      </c>
      <c r="L38" s="2" t="s">
        <v>64</v>
      </c>
      <c r="M38" s="2" t="s">
        <v>65</v>
      </c>
      <c r="N38" s="2" t="s">
        <v>66</v>
      </c>
      <c r="O38" s="2" t="s">
        <v>65</v>
      </c>
      <c r="P38" s="2" t="s">
        <v>66</v>
      </c>
    </row>
    <row r="39" ht="12.75" customHeight="1">
      <c r="A39" s="2">
        <v>1.0</v>
      </c>
      <c r="B39" s="15">
        <f t="shared" ref="B39:B48" si="2">PMT($B$23,A39,-1)</f>
        <v>1.08</v>
      </c>
      <c r="C39" s="2">
        <v>0.05</v>
      </c>
      <c r="D39" s="16">
        <f t="shared" ref="D39:D48" si="3">((B39*($B$26+$B$28+$B$30)/$E$15)+C39*$E$20+$E$21*($B$27+$B$29))/($B$19*$D$4-$E$16*$D$7-$B$22*$D$6)</f>
        <v>0.1020057086</v>
      </c>
      <c r="E39" s="16">
        <f t="shared" ref="E39:E48" si="4">((B39*($B$26+$B$28+$B$30)/$E$15)+C39*$E$20+$E$21*($B$27+$B$29))/($B$19*$F$4-$E$16*$F$7-$B$22*$F$6)</f>
        <v>0.1784287282</v>
      </c>
      <c r="F39" s="16">
        <f t="shared" ref="F39:F48" si="5">B39*$B$32/($E$15*$B$31)+D39*($B$19*$D$4-$E$16*$D$5-$B$22*$D$6)/$B$31</f>
        <v>0.1668783094</v>
      </c>
      <c r="G39" s="16">
        <f t="shared" ref="G39:G48" si="6">B39*$B$32/($E$15*$B$31)+E39*($B$19*$F$4-$E$16*$F$5-$B$22*$F$6)/$B$31</f>
        <v>0.26985156</v>
      </c>
      <c r="H39" s="11">
        <f t="shared" ref="H39:H48" si="7">$B$31*F39+($E$18-$B$31)*$E$21+D39*$B$34</f>
        <v>2361.69347</v>
      </c>
      <c r="I39" s="11">
        <f t="shared" ref="I39:I48" si="8">$B$31*G39+($E$18-$B$31)*$E$21+E39*$B$35</f>
        <v>2361.69347</v>
      </c>
      <c r="J39" s="16">
        <f t="shared" ref="J39:J48" si="9">((B39*($E$26+$E$28)/8000)+C39*$N$5+$E$21*$E$27)/($E$34)</f>
        <v>0.03409414861</v>
      </c>
      <c r="K39" s="18">
        <f t="shared" ref="K39:K48" si="10">$E$31*$E$21+J39*$E$34</f>
        <v>1562.987993</v>
      </c>
      <c r="L39" s="11">
        <f t="shared" ref="L39:L48" si="11">(K39-I39)*8000</f>
        <v>-6389643.815</v>
      </c>
      <c r="M39" s="3">
        <f t="shared" ref="M39:M48" si="12">PMT($B$23,A39,-$B$33)</f>
        <v>5360535.121</v>
      </c>
      <c r="N39" s="17">
        <f t="shared" ref="N39:N48" si="13">L39-M39</f>
        <v>-11750178.94</v>
      </c>
      <c r="O39" s="3">
        <f t="shared" ref="O39:O48" si="14">PMT($B$23,A39,-$B$36)</f>
        <v>4674231.176</v>
      </c>
      <c r="P39" s="17">
        <f t="shared" ref="P39:P48" si="15">L39-O39</f>
        <v>-11063874.99</v>
      </c>
    </row>
    <row r="40" ht="12.75" customHeight="1">
      <c r="A40" s="2">
        <v>2.0</v>
      </c>
      <c r="B40" s="15">
        <f t="shared" si="2"/>
        <v>0.5607692308</v>
      </c>
      <c r="C40" s="2">
        <f t="shared" ref="C40:C48" si="16">C39</f>
        <v>0.05</v>
      </c>
      <c r="D40" s="16">
        <f t="shared" si="3"/>
        <v>0.09435596888</v>
      </c>
      <c r="E40" s="16">
        <f t="shared" si="4"/>
        <v>0.1650477778</v>
      </c>
      <c r="F40" s="16">
        <f t="shared" si="5"/>
        <v>0.1301908171</v>
      </c>
      <c r="G40" s="16">
        <f t="shared" si="6"/>
        <v>0.2254417688</v>
      </c>
      <c r="H40" s="11">
        <f t="shared" si="7"/>
        <v>2039.545927</v>
      </c>
      <c r="I40" s="11">
        <f t="shared" si="8"/>
        <v>2039.545927</v>
      </c>
      <c r="J40" s="16">
        <f t="shared" si="9"/>
        <v>0.03231188218</v>
      </c>
      <c r="K40" s="18">
        <f t="shared" si="10"/>
        <v>1521.743766</v>
      </c>
      <c r="L40" s="11">
        <f t="shared" si="11"/>
        <v>-4142417.288</v>
      </c>
      <c r="M40" s="3">
        <f t="shared" si="12"/>
        <v>2783354.774</v>
      </c>
      <c r="N40" s="17">
        <f t="shared" si="13"/>
        <v>-6925772.063</v>
      </c>
      <c r="O40" s="3">
        <f t="shared" si="14"/>
        <v>2427004.649</v>
      </c>
      <c r="P40" s="17">
        <f t="shared" si="15"/>
        <v>-6569421.937</v>
      </c>
    </row>
    <row r="41" ht="12.75" customHeight="1">
      <c r="A41" s="2">
        <v>3.0</v>
      </c>
      <c r="B41" s="15">
        <f t="shared" si="2"/>
        <v>0.388033514</v>
      </c>
      <c r="C41" s="2">
        <f t="shared" si="16"/>
        <v>0.05</v>
      </c>
      <c r="D41" s="16">
        <f t="shared" si="3"/>
        <v>0.09181108259</v>
      </c>
      <c r="E41" s="16">
        <f t="shared" si="4"/>
        <v>0.1605962542</v>
      </c>
      <c r="F41" s="16">
        <f t="shared" si="5"/>
        <v>0.1179857617</v>
      </c>
      <c r="G41" s="16">
        <f t="shared" si="6"/>
        <v>0.2106676885</v>
      </c>
      <c r="H41" s="11">
        <f t="shared" si="7"/>
        <v>1932.375108</v>
      </c>
      <c r="I41" s="11">
        <f t="shared" si="8"/>
        <v>1932.375108</v>
      </c>
      <c r="J41" s="16">
        <f t="shared" si="9"/>
        <v>0.03171896456</v>
      </c>
      <c r="K41" s="18">
        <f t="shared" si="10"/>
        <v>1508.022793</v>
      </c>
      <c r="L41" s="11">
        <f t="shared" si="11"/>
        <v>-3394818.518</v>
      </c>
      <c r="M41" s="3">
        <f t="shared" si="12"/>
        <v>1925988.222</v>
      </c>
      <c r="N41" s="17">
        <f t="shared" si="13"/>
        <v>-5320806.74</v>
      </c>
      <c r="O41" s="3">
        <f t="shared" si="14"/>
        <v>1679405.878</v>
      </c>
      <c r="P41" s="17">
        <f t="shared" si="15"/>
        <v>-5074224.396</v>
      </c>
    </row>
    <row r="42" ht="12.75" customHeight="1">
      <c r="A42" s="2">
        <v>4.0</v>
      </c>
      <c r="B42" s="15">
        <f t="shared" si="2"/>
        <v>0.3019208045</v>
      </c>
      <c r="C42" s="2">
        <f t="shared" si="16"/>
        <v>0.05</v>
      </c>
      <c r="D42" s="16">
        <f t="shared" si="3"/>
        <v>0.09054239851</v>
      </c>
      <c r="E42" s="16">
        <f t="shared" si="4"/>
        <v>0.1583770677</v>
      </c>
      <c r="F42" s="16">
        <f t="shared" si="5"/>
        <v>0.1119012621</v>
      </c>
      <c r="G42" s="16">
        <f t="shared" si="6"/>
        <v>0.2033024712</v>
      </c>
      <c r="H42" s="11">
        <f t="shared" si="7"/>
        <v>1878.948001</v>
      </c>
      <c r="I42" s="11">
        <f t="shared" si="8"/>
        <v>1878.948001</v>
      </c>
      <c r="J42" s="16">
        <f t="shared" si="9"/>
        <v>0.03142338155</v>
      </c>
      <c r="K42" s="18">
        <f t="shared" si="10"/>
        <v>1501.182574</v>
      </c>
      <c r="L42" s="11">
        <f t="shared" si="11"/>
        <v>-3022123.414</v>
      </c>
      <c r="M42" s="3">
        <f t="shared" si="12"/>
        <v>1498571.367</v>
      </c>
      <c r="N42" s="17">
        <f t="shared" si="13"/>
        <v>-4520694.781</v>
      </c>
      <c r="O42" s="3">
        <f t="shared" si="14"/>
        <v>1306710.775</v>
      </c>
      <c r="P42" s="17">
        <f t="shared" si="15"/>
        <v>-4328834.189</v>
      </c>
    </row>
    <row r="43" ht="12.75" customHeight="1">
      <c r="A43" s="2">
        <v>5.0</v>
      </c>
      <c r="B43" s="15">
        <f t="shared" si="2"/>
        <v>0.2504564546</v>
      </c>
      <c r="C43" s="2">
        <f t="shared" si="16"/>
        <v>0.05</v>
      </c>
      <c r="D43" s="16">
        <f t="shared" si="3"/>
        <v>0.08978418289</v>
      </c>
      <c r="E43" s="16">
        <f t="shared" si="4"/>
        <v>0.1570507944</v>
      </c>
      <c r="F43" s="16">
        <f t="shared" si="5"/>
        <v>0.1082649254</v>
      </c>
      <c r="G43" s="16">
        <f t="shared" si="6"/>
        <v>0.198900727</v>
      </c>
      <c r="H43" s="11">
        <f t="shared" si="7"/>
        <v>1847.017855</v>
      </c>
      <c r="I43" s="11">
        <f t="shared" si="8"/>
        <v>1847.017855</v>
      </c>
      <c r="J43" s="16">
        <f t="shared" si="9"/>
        <v>0.03124672949</v>
      </c>
      <c r="K43" s="18">
        <f t="shared" si="10"/>
        <v>1497.094589</v>
      </c>
      <c r="L43" s="11">
        <f t="shared" si="11"/>
        <v>-2799386.128</v>
      </c>
      <c r="M43" s="3">
        <f t="shared" si="12"/>
        <v>1243130.205</v>
      </c>
      <c r="N43" s="17">
        <f t="shared" si="13"/>
        <v>-4042516.333</v>
      </c>
      <c r="O43" s="3">
        <f t="shared" si="14"/>
        <v>1083973.489</v>
      </c>
      <c r="P43" s="17">
        <f t="shared" si="15"/>
        <v>-3883359.617</v>
      </c>
    </row>
    <row r="44" ht="12.75" customHeight="1">
      <c r="A44" s="2">
        <v>6.0</v>
      </c>
      <c r="B44" s="15">
        <f t="shared" si="2"/>
        <v>0.2163153862</v>
      </c>
      <c r="C44" s="2">
        <f t="shared" si="16"/>
        <v>0.05</v>
      </c>
      <c r="D44" s="16">
        <f t="shared" si="3"/>
        <v>0.08928118827</v>
      </c>
      <c r="E44" s="16">
        <f t="shared" si="4"/>
        <v>0.1561709545</v>
      </c>
      <c r="F44" s="16">
        <f t="shared" si="5"/>
        <v>0.1058526065</v>
      </c>
      <c r="G44" s="16">
        <f t="shared" si="6"/>
        <v>0.1959806425</v>
      </c>
      <c r="H44" s="11">
        <f t="shared" si="7"/>
        <v>1825.835634</v>
      </c>
      <c r="I44" s="11">
        <f t="shared" si="8"/>
        <v>1825.835634</v>
      </c>
      <c r="J44" s="16">
        <f t="shared" si="9"/>
        <v>0.03112953983</v>
      </c>
      <c r="K44" s="18">
        <f t="shared" si="10"/>
        <v>1494.382651</v>
      </c>
      <c r="L44" s="11">
        <f t="shared" si="11"/>
        <v>-2651623.864</v>
      </c>
      <c r="M44" s="3">
        <f t="shared" si="12"/>
        <v>1073672.431</v>
      </c>
      <c r="N44" s="17">
        <f t="shared" si="13"/>
        <v>-3725296.294</v>
      </c>
      <c r="O44" s="3">
        <f t="shared" si="14"/>
        <v>936211.2242</v>
      </c>
      <c r="P44" s="17">
        <f t="shared" si="15"/>
        <v>-3587835.088</v>
      </c>
    </row>
    <row r="45" ht="12.75" customHeight="1">
      <c r="A45" s="2">
        <v>7.0</v>
      </c>
      <c r="B45" s="15">
        <f t="shared" si="2"/>
        <v>0.1920724014</v>
      </c>
      <c r="C45" s="2">
        <f t="shared" si="16"/>
        <v>0.05</v>
      </c>
      <c r="D45" s="16">
        <f t="shared" si="3"/>
        <v>0.08892402044</v>
      </c>
      <c r="E45" s="16">
        <f t="shared" si="4"/>
        <v>0.1555461954</v>
      </c>
      <c r="F45" s="16">
        <f t="shared" si="5"/>
        <v>0.1041396604</v>
      </c>
      <c r="G45" s="16">
        <f t="shared" si="6"/>
        <v>0.1939071408</v>
      </c>
      <c r="H45" s="11">
        <f t="shared" si="7"/>
        <v>1810.794503</v>
      </c>
      <c r="I45" s="11">
        <f t="shared" si="8"/>
        <v>1810.794503</v>
      </c>
      <c r="J45" s="16">
        <f t="shared" si="9"/>
        <v>0.03104632546</v>
      </c>
      <c r="K45" s="18">
        <f t="shared" si="10"/>
        <v>1492.45695</v>
      </c>
      <c r="L45" s="11">
        <f t="shared" si="11"/>
        <v>-2546700.423</v>
      </c>
      <c r="M45" s="3">
        <f t="shared" si="12"/>
        <v>953343.3829</v>
      </c>
      <c r="N45" s="17">
        <f t="shared" si="13"/>
        <v>-3500043.806</v>
      </c>
      <c r="O45" s="3">
        <f t="shared" si="14"/>
        <v>831287.784</v>
      </c>
      <c r="P45" s="17">
        <f t="shared" si="15"/>
        <v>-3377988.208</v>
      </c>
    </row>
    <row r="46" ht="12.75" customHeight="1">
      <c r="A46" s="2">
        <v>8.0</v>
      </c>
      <c r="B46" s="15">
        <f t="shared" si="2"/>
        <v>0.1740147606</v>
      </c>
      <c r="C46" s="2">
        <f t="shared" si="16"/>
        <v>0.05</v>
      </c>
      <c r="D46" s="16">
        <f t="shared" si="3"/>
        <v>0.08865798026</v>
      </c>
      <c r="E46" s="16">
        <f t="shared" si="4"/>
        <v>0.155080837</v>
      </c>
      <c r="F46" s="16">
        <f t="shared" si="5"/>
        <v>0.1028637546</v>
      </c>
      <c r="G46" s="16">
        <f t="shared" si="6"/>
        <v>0.1923626713</v>
      </c>
      <c r="H46" s="11">
        <f t="shared" si="7"/>
        <v>1799.590959</v>
      </c>
      <c r="I46" s="11">
        <f t="shared" si="8"/>
        <v>1799.590959</v>
      </c>
      <c r="J46" s="16">
        <f t="shared" si="9"/>
        <v>0.03098434237</v>
      </c>
      <c r="K46" s="18">
        <f t="shared" si="10"/>
        <v>1491.022571</v>
      </c>
      <c r="L46" s="11">
        <f t="shared" si="11"/>
        <v>-2468547.101</v>
      </c>
      <c r="M46" s="3">
        <f t="shared" si="12"/>
        <v>863715.033</v>
      </c>
      <c r="N46" s="17">
        <f t="shared" si="13"/>
        <v>-3332262.134</v>
      </c>
      <c r="O46" s="3">
        <f t="shared" si="14"/>
        <v>753134.462</v>
      </c>
      <c r="P46" s="17">
        <f t="shared" si="15"/>
        <v>-3221681.564</v>
      </c>
    </row>
    <row r="47" ht="12.75" customHeight="1">
      <c r="A47" s="2">
        <v>9.0</v>
      </c>
      <c r="B47" s="15">
        <f t="shared" si="2"/>
        <v>0.1600797092</v>
      </c>
      <c r="C47" s="2">
        <f t="shared" si="16"/>
        <v>0.05</v>
      </c>
      <c r="D47" s="16">
        <f t="shared" si="3"/>
        <v>0.08845267749</v>
      </c>
      <c r="E47" s="16">
        <f t="shared" si="4"/>
        <v>0.1547217207</v>
      </c>
      <c r="F47" s="16">
        <f t="shared" si="5"/>
        <v>0.1018791402</v>
      </c>
      <c r="G47" s="16">
        <f t="shared" si="6"/>
        <v>0.1911708068</v>
      </c>
      <c r="H47" s="11">
        <f t="shared" si="7"/>
        <v>1790.945203</v>
      </c>
      <c r="I47" s="11">
        <f t="shared" si="8"/>
        <v>1790.945203</v>
      </c>
      <c r="J47" s="16">
        <f t="shared" si="9"/>
        <v>0.03093651013</v>
      </c>
      <c r="K47" s="18">
        <f t="shared" si="10"/>
        <v>1489.915664</v>
      </c>
      <c r="L47" s="11">
        <f t="shared" si="11"/>
        <v>-2408236.313</v>
      </c>
      <c r="M47" s="3">
        <f t="shared" si="12"/>
        <v>794548.9844</v>
      </c>
      <c r="N47" s="17">
        <f t="shared" si="13"/>
        <v>-3202785.297</v>
      </c>
      <c r="O47" s="3">
        <f t="shared" si="14"/>
        <v>692823.6734</v>
      </c>
      <c r="P47" s="17">
        <f t="shared" si="15"/>
        <v>-3101059.986</v>
      </c>
    </row>
    <row r="48" ht="12.75" customHeight="1">
      <c r="A48" s="2">
        <v>10.0</v>
      </c>
      <c r="B48" s="15">
        <f t="shared" si="2"/>
        <v>0.1490294887</v>
      </c>
      <c r="C48" s="2">
        <f t="shared" si="16"/>
        <v>0.05</v>
      </c>
      <c r="D48" s="16">
        <f t="shared" si="3"/>
        <v>0.08828987644</v>
      </c>
      <c r="E48" s="16">
        <f t="shared" si="4"/>
        <v>0.1544369486</v>
      </c>
      <c r="F48" s="16">
        <f t="shared" si="5"/>
        <v>0.1010983604</v>
      </c>
      <c r="G48" s="16">
        <f t="shared" si="6"/>
        <v>0.1902256818</v>
      </c>
      <c r="H48" s="11">
        <f t="shared" si="7"/>
        <v>1784.089289</v>
      </c>
      <c r="I48" s="11">
        <f t="shared" si="8"/>
        <v>1784.089289</v>
      </c>
      <c r="J48" s="16">
        <f t="shared" si="9"/>
        <v>0.0308985801</v>
      </c>
      <c r="K48" s="18">
        <f t="shared" si="10"/>
        <v>1489.037908</v>
      </c>
      <c r="L48" s="11">
        <f t="shared" si="11"/>
        <v>-2360411.049</v>
      </c>
      <c r="M48" s="3">
        <f t="shared" si="12"/>
        <v>739701.6742</v>
      </c>
      <c r="N48" s="17">
        <f t="shared" si="13"/>
        <v>-3100112.723</v>
      </c>
      <c r="O48" s="3">
        <f t="shared" si="14"/>
        <v>644998.4094</v>
      </c>
      <c r="P48" s="17">
        <f t="shared" si="15"/>
        <v>-3005409.458</v>
      </c>
    </row>
    <row r="49" ht="12.75" customHeight="1"/>
    <row r="50" ht="12.75" customHeight="1"/>
    <row r="51" ht="12.75" customHeight="1">
      <c r="A51" s="13" t="s">
        <v>67</v>
      </c>
      <c r="B51" s="14"/>
      <c r="C51" s="2"/>
    </row>
    <row r="52" ht="12.75" customHeight="1">
      <c r="A52" s="13" t="s">
        <v>47</v>
      </c>
      <c r="B52" s="14"/>
      <c r="C52" s="17">
        <f>B33</f>
        <v>4963458.445</v>
      </c>
    </row>
    <row r="53" ht="12.75" customHeight="1">
      <c r="A53" s="13" t="s">
        <v>68</v>
      </c>
      <c r="B53" s="14"/>
      <c r="C53" s="11">
        <f>L43</f>
        <v>-2799386.128</v>
      </c>
    </row>
    <row r="54" ht="12.75" customHeight="1">
      <c r="A54" s="13" t="s">
        <v>69</v>
      </c>
      <c r="B54" s="14"/>
      <c r="C54" s="2">
        <v>0.08</v>
      </c>
    </row>
    <row r="55" ht="12.75" customHeight="1">
      <c r="A55" s="13" t="s">
        <v>70</v>
      </c>
      <c r="B55" s="14"/>
      <c r="C55" s="2">
        <v>5.0</v>
      </c>
    </row>
    <row r="56" ht="12.75" customHeight="1">
      <c r="A56" s="13" t="s">
        <v>71</v>
      </c>
      <c r="B56" s="14"/>
      <c r="C56" s="19">
        <f>NPER(C54,C53,-C52)</f>
        <v>-1.723530106</v>
      </c>
    </row>
    <row r="57" ht="12.75" customHeight="1"/>
    <row r="58" ht="12.75" customHeight="1">
      <c r="A58" s="13" t="s">
        <v>52</v>
      </c>
      <c r="B58" s="14"/>
      <c r="C58" s="2"/>
    </row>
    <row r="59" ht="12.75" customHeight="1">
      <c r="A59" s="13" t="s">
        <v>47</v>
      </c>
      <c r="B59" s="14"/>
      <c r="C59" s="17">
        <f>B36</f>
        <v>4327991.829</v>
      </c>
    </row>
    <row r="60" ht="12.75" customHeight="1">
      <c r="A60" s="13" t="s">
        <v>68</v>
      </c>
      <c r="B60" s="14"/>
      <c r="C60" s="11">
        <f t="shared" ref="C60:C62" si="17">C53</f>
        <v>-2799386.128</v>
      </c>
    </row>
    <row r="61" ht="12.75" customHeight="1">
      <c r="A61" s="13" t="s">
        <v>69</v>
      </c>
      <c r="B61" s="14"/>
      <c r="C61" s="2">
        <f t="shared" si="17"/>
        <v>0.08</v>
      </c>
    </row>
    <row r="62" ht="12.75" customHeight="1">
      <c r="A62" s="13" t="s">
        <v>70</v>
      </c>
      <c r="B62" s="14"/>
      <c r="C62" s="2">
        <f t="shared" si="17"/>
        <v>5</v>
      </c>
    </row>
    <row r="63" ht="12.75" customHeight="1">
      <c r="A63" s="13" t="s">
        <v>71</v>
      </c>
      <c r="B63" s="14"/>
      <c r="C63" s="19">
        <f>NPER(C61,C60,-C59)</f>
        <v>-1.515215939</v>
      </c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58:B58"/>
    <mergeCell ref="A59:B59"/>
    <mergeCell ref="A60:B60"/>
    <mergeCell ref="A61:B61"/>
    <mergeCell ref="A62:B62"/>
    <mergeCell ref="A63:B63"/>
    <mergeCell ref="G25:H25"/>
    <mergeCell ref="A51:B51"/>
    <mergeCell ref="A52:B52"/>
    <mergeCell ref="A53:B53"/>
    <mergeCell ref="A54:B54"/>
    <mergeCell ref="A55:B55"/>
    <mergeCell ref="A56:B56"/>
  </mergeCells>
  <printOptions/>
  <pageMargins bottom="0.75" footer="0.0" header="0.0" left="0.7" right="0.7" top="0.75"/>
  <pageSetup orientation="landscape"/>
  <drawing r:id="rId1"/>
</worksheet>
</file>