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áf4" sheetId="1" r:id="rId4"/>
    <sheet state="visible" name="Plan1" sheetId="2" r:id="rId5"/>
  </sheets>
  <definedNames/>
  <calcPr/>
</workbook>
</file>

<file path=xl/sharedStrings.xml><?xml version="1.0" encoding="utf-8"?>
<sst xmlns="http://schemas.openxmlformats.org/spreadsheetml/2006/main" count="82" uniqueCount="60">
  <si>
    <t>Convencional</t>
  </si>
  <si>
    <t>Ponto</t>
  </si>
  <si>
    <t>P</t>
  </si>
  <si>
    <t>T</t>
  </si>
  <si>
    <t>h</t>
  </si>
  <si>
    <t>s</t>
  </si>
  <si>
    <t>e</t>
  </si>
  <si>
    <t>mc conv</t>
  </si>
  <si>
    <t>0,5 liq sat</t>
  </si>
  <si>
    <t>Ecomb conv</t>
  </si>
  <si>
    <t>0,6 liq co</t>
  </si>
  <si>
    <t>Ho</t>
  </si>
  <si>
    <t>So</t>
  </si>
  <si>
    <t>To</t>
  </si>
  <si>
    <t>Er</t>
  </si>
  <si>
    <t>m1</t>
  </si>
  <si>
    <t>mc</t>
  </si>
  <si>
    <t>PCI</t>
  </si>
  <si>
    <t>Ecomb</t>
  </si>
  <si>
    <t>ncal</t>
  </si>
  <si>
    <t>Pel</t>
  </si>
  <si>
    <t xml:space="preserve">Taxa </t>
  </si>
  <si>
    <t>K anos</t>
  </si>
  <si>
    <t>f=</t>
  </si>
  <si>
    <t>rendimento do sistema</t>
  </si>
  <si>
    <t>Ccal</t>
  </si>
  <si>
    <t>n ele</t>
  </si>
  <si>
    <t>Wb</t>
  </si>
  <si>
    <t>n global 1a</t>
  </si>
  <si>
    <t>Cb</t>
  </si>
  <si>
    <t>n global 2a</t>
  </si>
  <si>
    <t>Ep</t>
  </si>
  <si>
    <t>Ctv</t>
  </si>
  <si>
    <t>Custo do sistema de cogeração</t>
  </si>
  <si>
    <t>Invest</t>
  </si>
  <si>
    <t>US$/kW</t>
  </si>
  <si>
    <t>Hvp</t>
  </si>
  <si>
    <t>Evp</t>
  </si>
  <si>
    <t>Sist Novo</t>
  </si>
  <si>
    <t>troca do sistema</t>
  </si>
  <si>
    <t>Sistema Novo</t>
  </si>
  <si>
    <t>k anos</t>
  </si>
  <si>
    <t>f</t>
  </si>
  <si>
    <t>Pcomb</t>
  </si>
  <si>
    <t>cvh</t>
  </si>
  <si>
    <t>cve</t>
  </si>
  <si>
    <t>celh</t>
  </si>
  <si>
    <t>cele</t>
  </si>
  <si>
    <t>Cmanh</t>
  </si>
  <si>
    <t>Cmane</t>
  </si>
  <si>
    <t>cvh conv</t>
  </si>
  <si>
    <t>Cman conv</t>
  </si>
  <si>
    <t>GPEL</t>
  </si>
  <si>
    <t>Pgto Inv</t>
  </si>
  <si>
    <t>Resultado</t>
  </si>
  <si>
    <t>Troca do sistema</t>
  </si>
  <si>
    <t>Economia anual</t>
  </si>
  <si>
    <t>Taxa de juros</t>
  </si>
  <si>
    <t>periodo do emprestimo</t>
  </si>
  <si>
    <t>Payback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</si>
</sst>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(* #,##0.0000_);_(* \(#,##0.0000\);_(* &quot;-&quot;??_);_(@_)"/>
    <numFmt numFmtId="165" formatCode="_(* #,##0_);_(* \(#,##0\);_(* &quot;-&quot;??_);_(@_)"/>
    <numFmt numFmtId="166" formatCode="0.0"/>
    <numFmt numFmtId="167" formatCode="_-* #,##0.00_-;\-* #,##0.00_-;_-* &quot;-&quot;??_-;_-@"/>
    <numFmt numFmtId="168" formatCode="_(* #,##0.00_);_(* \(#,##0.00\);_(* &quot;-&quot;??_);_(@_)"/>
    <numFmt numFmtId="169" formatCode="_-* #,##0_-;\-* #,##0_-;_-* &quot;-&quot;????_-;_-@"/>
  </numFmts>
  <fonts count="4">
    <font>
      <sz val="10.0"/>
      <color rgb="FF000000"/>
      <name val="Arial"/>
      <scheme val="minor"/>
    </font>
    <font>
      <color theme="1"/>
      <name val="Arial"/>
      <scheme val="minor"/>
    </font>
    <font>
      <sz val="10.0"/>
      <color theme="1"/>
      <name val="Arial"/>
    </font>
    <font/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2" numFmtId="165" xfId="0" applyAlignment="1" applyFont="1" applyNumberFormat="1">
      <alignment shrinkToFit="0" vertical="bottom" wrapText="0"/>
    </xf>
    <xf borderId="0" fillId="0" fontId="2" numFmtId="166" xfId="0" applyAlignment="1" applyFont="1" applyNumberFormat="1">
      <alignment shrinkToFit="0" vertical="bottom" wrapText="0"/>
    </xf>
    <xf borderId="0" fillId="0" fontId="2" numFmtId="167" xfId="0" applyAlignment="1" applyFont="1" applyNumberFormat="1">
      <alignment shrinkToFit="0" vertical="bottom" wrapText="0"/>
    </xf>
    <xf borderId="1" fillId="0" fontId="2" numFmtId="165" xfId="0" applyAlignment="1" applyBorder="1" applyFont="1" applyNumberFormat="1">
      <alignment shrinkToFit="0" vertical="bottom" wrapText="0"/>
    </xf>
    <xf borderId="2" fillId="0" fontId="2" numFmtId="164" xfId="0" applyAlignment="1" applyBorder="1" applyFont="1" applyNumberFormat="1">
      <alignment shrinkToFit="0" vertical="bottom" wrapText="0"/>
    </xf>
    <xf borderId="3" fillId="0" fontId="2" numFmtId="0" xfId="0" applyAlignment="1" applyBorder="1" applyFont="1">
      <alignment horizontal="center" shrinkToFit="0" vertical="bottom" wrapText="0"/>
    </xf>
    <xf borderId="4" fillId="0" fontId="3" numFmtId="0" xfId="0" applyBorder="1" applyFont="1"/>
    <xf borderId="1" fillId="0" fontId="2" numFmtId="168" xfId="0" applyAlignment="1" applyBorder="1" applyFont="1" applyNumberFormat="1">
      <alignment shrinkToFit="0" vertical="bottom" wrapText="0"/>
    </xf>
    <xf borderId="1" fillId="0" fontId="2" numFmtId="164" xfId="0" applyAlignment="1" applyBorder="1" applyFont="1" applyNumberFormat="1">
      <alignment shrinkToFit="0" vertical="bottom" wrapText="0"/>
    </xf>
    <xf borderId="1" fillId="0" fontId="2" numFmtId="167" xfId="0" applyAlignment="1" applyBorder="1" applyFont="1" applyNumberFormat="1">
      <alignment shrinkToFit="0" vertical="bottom" wrapText="0"/>
    </xf>
    <xf borderId="1" fillId="0" fontId="2" numFmtId="169" xfId="0" applyAlignment="1" applyBorder="1" applyFont="1" applyNumberFormat="1">
      <alignment shrinkToFit="0" vertical="bottom" wrapText="0"/>
    </xf>
    <xf borderId="1" fillId="0" fontId="2" numFmtId="166" xfId="0" applyAlignment="1" applyBorder="1" applyFont="1" applyNumberFormat="1">
      <alignment shrinkToFit="0" vertical="bottom" wrapText="0"/>
    </xf>
    <xf borderId="1" fillId="0" fontId="2" numFmtId="2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spPr>
            <a:ln cmpd="sng" w="28575">
              <a:solidFill>
                <a:srgbClr val="666699">
                  <a:alpha val="100000"/>
                </a:srgbClr>
              </a:solidFill>
            </a:ln>
          </c:spPr>
          <c:marker>
            <c:symbol val="none"/>
          </c:marker>
          <c:val>
            <c:numRef>
              <c:f>Plan1!$N$31:$N$40</c:f>
              <c:numCache/>
            </c:numRef>
          </c:val>
          <c:smooth val="0"/>
        </c:ser>
        <c:ser>
          <c:idx val="1"/>
          <c:order val="1"/>
          <c:spPr>
            <a:ln cmpd="sng" w="28575">
              <a:solidFill>
                <a:srgbClr val="993366">
                  <a:alpha val="100000"/>
                </a:srgbClr>
              </a:solidFill>
            </a:ln>
          </c:spPr>
          <c:marker>
            <c:symbol val="none"/>
          </c:marker>
          <c:val>
            <c:numRef>
              <c:f>Plan1!$P$31:$P$40</c:f>
              <c:numCache/>
            </c:numRef>
          </c:val>
          <c:smooth val="0"/>
        </c:ser>
        <c:axId val="782979616"/>
        <c:axId val="807507599"/>
      </c:lineChart>
      <c:catAx>
        <c:axId val="78297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07507599"/>
      </c:catAx>
      <c:valAx>
        <c:axId val="8075075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8297961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</c:chart>
  <c:spPr>
    <a:solidFill>
      <a:srgbClr val="FFFFFF"/>
    </a:solidFill>
  </c:spPr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descr="Chart 0"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25"/>
    <col customWidth="1" min="2" max="3" width="13.63"/>
    <col customWidth="1" min="4" max="4" width="9.25"/>
    <col customWidth="1" min="5" max="5" width="13.63"/>
    <col customWidth="1" min="6" max="6" width="9.25"/>
    <col customWidth="1" min="7" max="7" width="10.13"/>
    <col customWidth="1" min="8" max="10" width="9.25"/>
    <col customWidth="1" min="11" max="11" width="11.38"/>
    <col customWidth="1" min="12" max="12" width="11.75"/>
    <col customWidth="1" min="13" max="13" width="10.13"/>
    <col customWidth="1" min="14" max="14" width="13.63"/>
    <col customWidth="1" min="15" max="15" width="11.38"/>
    <col customWidth="1" min="16" max="16" width="15.25"/>
    <col customWidth="1" min="17" max="17" width="13.13"/>
    <col customWidth="1" min="18" max="26" width="8.0"/>
  </cols>
  <sheetData>
    <row r="1" ht="12.75" customHeight="1"/>
    <row r="2" ht="12.75" customHeight="1">
      <c r="H2" s="1" t="s">
        <v>0</v>
      </c>
    </row>
    <row r="3" ht="12.7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H3" s="2" t="s">
        <v>1</v>
      </c>
      <c r="I3" s="2" t="s">
        <v>2</v>
      </c>
      <c r="J3" s="2" t="s">
        <v>3</v>
      </c>
      <c r="K3" s="2" t="s">
        <v>4</v>
      </c>
    </row>
    <row r="4" ht="12.75" customHeight="1">
      <c r="A4" s="2">
        <v>1.0</v>
      </c>
      <c r="B4" s="2">
        <v>5.0</v>
      </c>
      <c r="C4" s="2">
        <v>450.0</v>
      </c>
      <c r="D4" s="2">
        <v>3316.1</v>
      </c>
      <c r="E4" s="2">
        <v>6.8185</v>
      </c>
      <c r="F4" s="2">
        <f t="shared" ref="F4:F7" si="1">(D4-$B$9)-$B$11*(E4-$B$10)</f>
        <v>1288.7724</v>
      </c>
      <c r="H4" s="2">
        <v>1.0</v>
      </c>
      <c r="I4" s="2">
        <v>0.6</v>
      </c>
      <c r="J4" s="2"/>
      <c r="K4" s="2">
        <v>2757.0</v>
      </c>
      <c r="M4" s="2" t="s">
        <v>7</v>
      </c>
      <c r="N4" s="2">
        <f>B13*(K4-K6)/(B15*B14)</f>
        <v>0.2932076888</v>
      </c>
    </row>
    <row r="5" ht="12.75" customHeight="1">
      <c r="A5" s="2">
        <v>2.0</v>
      </c>
      <c r="B5" s="2">
        <v>0.6</v>
      </c>
      <c r="C5" s="2">
        <v>206.0</v>
      </c>
      <c r="D5" s="2">
        <v>2863.0</v>
      </c>
      <c r="E5" s="2">
        <v>6.992</v>
      </c>
      <c r="F5" s="2">
        <f t="shared" si="1"/>
        <v>783.9694</v>
      </c>
      <c r="H5" s="2">
        <v>2.0</v>
      </c>
      <c r="I5" s="2" t="s">
        <v>8</v>
      </c>
      <c r="J5" s="2"/>
      <c r="K5" s="2">
        <v>640.21</v>
      </c>
      <c r="M5" s="2" t="s">
        <v>9</v>
      </c>
      <c r="N5" s="2">
        <f>N4*B14</f>
        <v>14064</v>
      </c>
    </row>
    <row r="6" ht="12.75" customHeight="1">
      <c r="A6" s="2">
        <v>3.0</v>
      </c>
      <c r="B6" s="2" t="s">
        <v>8</v>
      </c>
      <c r="C6" s="2">
        <v>152.0</v>
      </c>
      <c r="D6" s="2">
        <v>640.21</v>
      </c>
      <c r="E6" s="2">
        <v>1.8606</v>
      </c>
      <c r="F6" s="2">
        <f t="shared" si="1"/>
        <v>90.3366</v>
      </c>
      <c r="H6" s="2">
        <v>3.0</v>
      </c>
      <c r="I6" s="2" t="s">
        <v>10</v>
      </c>
      <c r="J6" s="2"/>
      <c r="K6" s="2">
        <v>647.4</v>
      </c>
    </row>
    <row r="7" ht="12.75" customHeight="1">
      <c r="A7" s="2">
        <v>4.0</v>
      </c>
      <c r="B7" s="2">
        <v>5.0</v>
      </c>
      <c r="C7" s="2">
        <v>153.0</v>
      </c>
      <c r="D7" s="2">
        <v>647.4</v>
      </c>
      <c r="E7" s="2">
        <v>1.864</v>
      </c>
      <c r="F7" s="2">
        <f t="shared" si="1"/>
        <v>96.5134</v>
      </c>
    </row>
    <row r="8" ht="12.75" customHeight="1"/>
    <row r="9" ht="12.75" customHeight="1">
      <c r="A9" s="2" t="s">
        <v>11</v>
      </c>
      <c r="B9" s="2">
        <v>104.87</v>
      </c>
    </row>
    <row r="10" ht="12.75" customHeight="1">
      <c r="A10" s="2" t="s">
        <v>12</v>
      </c>
      <c r="B10" s="2">
        <v>0.3673</v>
      </c>
      <c r="I10" s="3"/>
      <c r="J10" s="3"/>
      <c r="K10" s="3"/>
      <c r="L10" s="3"/>
      <c r="M10" s="4"/>
      <c r="N10" s="4"/>
      <c r="O10" s="4"/>
      <c r="P10" s="5"/>
      <c r="Q10" s="6"/>
    </row>
    <row r="11" ht="12.75" customHeight="1">
      <c r="A11" s="2" t="s">
        <v>13</v>
      </c>
      <c r="B11" s="2">
        <v>298.0</v>
      </c>
      <c r="I11" s="3"/>
      <c r="J11" s="3"/>
      <c r="K11" s="3"/>
      <c r="L11" s="3"/>
      <c r="M11" s="4"/>
      <c r="N11" s="4"/>
      <c r="O11" s="4"/>
      <c r="P11" s="5"/>
      <c r="Q11" s="6"/>
    </row>
    <row r="12" ht="12.75" customHeight="1">
      <c r="D12" s="2" t="s">
        <v>14</v>
      </c>
      <c r="E12" s="2">
        <v>6000.0</v>
      </c>
      <c r="I12" s="3"/>
      <c r="J12" s="3"/>
      <c r="K12" s="3"/>
      <c r="L12" s="3"/>
      <c r="M12" s="4"/>
      <c r="N12" s="4"/>
      <c r="O12" s="4"/>
      <c r="P12" s="5"/>
      <c r="Q12" s="6"/>
    </row>
    <row r="13" ht="12.75" customHeight="1">
      <c r="A13" s="2" t="s">
        <v>15</v>
      </c>
      <c r="B13" s="2">
        <v>6.0</v>
      </c>
      <c r="D13" s="2" t="s">
        <v>16</v>
      </c>
      <c r="E13" s="2">
        <f>B13*(D4-D7)/(B15*B14)</f>
        <v>0.3709155096</v>
      </c>
      <c r="I13" s="3"/>
      <c r="J13" s="3"/>
      <c r="K13" s="3"/>
      <c r="L13" s="3"/>
      <c r="M13" s="4"/>
      <c r="N13" s="4"/>
      <c r="O13" s="4"/>
      <c r="P13" s="5"/>
      <c r="Q13" s="6"/>
    </row>
    <row r="14" ht="12.75" customHeight="1">
      <c r="A14" s="2" t="s">
        <v>17</v>
      </c>
      <c r="B14" s="2">
        <v>47966.0</v>
      </c>
      <c r="D14" s="2" t="s">
        <v>18</v>
      </c>
      <c r="E14" s="7">
        <f>E13*B14</f>
        <v>17791.33333</v>
      </c>
      <c r="I14" s="3"/>
      <c r="J14" s="3"/>
      <c r="K14" s="3"/>
      <c r="L14" s="3"/>
      <c r="M14" s="4"/>
      <c r="N14" s="4"/>
      <c r="O14" s="4"/>
      <c r="P14" s="5"/>
      <c r="Q14" s="6"/>
    </row>
    <row r="15" ht="12.75" customHeight="1">
      <c r="A15" s="2" t="s">
        <v>19</v>
      </c>
      <c r="B15" s="2">
        <v>0.9</v>
      </c>
      <c r="D15" s="2" t="s">
        <v>20</v>
      </c>
      <c r="E15" s="2">
        <v>0.129</v>
      </c>
      <c r="I15" s="3"/>
      <c r="J15" s="3"/>
      <c r="K15" s="3"/>
      <c r="L15" s="3"/>
      <c r="M15" s="4"/>
      <c r="N15" s="4"/>
      <c r="O15" s="4"/>
      <c r="P15" s="5"/>
      <c r="Q15" s="6"/>
    </row>
    <row r="16" ht="12.75" customHeight="1">
      <c r="I16" s="3"/>
      <c r="J16" s="3"/>
      <c r="K16" s="3"/>
      <c r="L16" s="3"/>
      <c r="M16" s="4"/>
      <c r="N16" s="4"/>
      <c r="O16" s="4"/>
      <c r="P16" s="5"/>
      <c r="Q16" s="6"/>
    </row>
    <row r="17" ht="12.75" customHeight="1">
      <c r="A17" s="2" t="s">
        <v>21</v>
      </c>
      <c r="B17" s="2">
        <v>0.08</v>
      </c>
      <c r="C17" s="2"/>
      <c r="D17" s="2"/>
      <c r="I17" s="3"/>
      <c r="J17" s="3"/>
      <c r="K17" s="3"/>
      <c r="L17" s="3"/>
      <c r="M17" s="4"/>
      <c r="N17" s="4"/>
      <c r="O17" s="4"/>
      <c r="P17" s="5"/>
      <c r="Q17" s="6"/>
    </row>
    <row r="18" ht="12.75" customHeight="1">
      <c r="A18" s="2" t="s">
        <v>22</v>
      </c>
      <c r="B18" s="2">
        <v>6.0</v>
      </c>
      <c r="C18" s="2" t="s">
        <v>23</v>
      </c>
      <c r="D18" s="8">
        <f>PMT(B17,B18,-1)</f>
        <v>0.2163153862</v>
      </c>
      <c r="I18" s="3"/>
      <c r="J18" s="3"/>
      <c r="K18" s="3"/>
      <c r="L18" s="3"/>
      <c r="M18" s="4"/>
      <c r="N18" s="4"/>
      <c r="O18" s="4"/>
      <c r="P18" s="5"/>
      <c r="Q18" s="6"/>
    </row>
    <row r="19" ht="12.75" customHeight="1">
      <c r="D19" s="2" t="s">
        <v>0</v>
      </c>
      <c r="E19" s="2"/>
      <c r="G19" s="9" t="s">
        <v>24</v>
      </c>
      <c r="H19" s="10"/>
      <c r="I19" s="3"/>
      <c r="J19" s="3"/>
      <c r="K19" s="3"/>
      <c r="L19" s="3"/>
      <c r="M19" s="4"/>
      <c r="N19" s="4"/>
      <c r="O19" s="4"/>
      <c r="P19" s="5"/>
      <c r="Q19" s="6"/>
    </row>
    <row r="20" ht="12.75" customHeight="1">
      <c r="A20" s="2" t="s">
        <v>25</v>
      </c>
      <c r="B20" s="11">
        <f>155*D4*B13^0.37*EXP((B4-2)/5.26)</f>
        <v>1764297.229</v>
      </c>
      <c r="D20" s="2" t="s">
        <v>25</v>
      </c>
      <c r="E20" s="11">
        <f>155*K4*B13^0.37*EXP((0.6-2)/5.26)</f>
        <v>635466.6156</v>
      </c>
      <c r="G20" s="2" t="s">
        <v>26</v>
      </c>
      <c r="H20" s="12">
        <f>(B23-B21)/E14</f>
        <v>0.1428314063</v>
      </c>
      <c r="I20" s="3"/>
      <c r="J20" s="3"/>
      <c r="K20" s="3"/>
      <c r="L20" s="3"/>
      <c r="M20" s="4"/>
      <c r="N20" s="4"/>
      <c r="O20" s="4"/>
      <c r="P20" s="5"/>
      <c r="Q20" s="6"/>
    </row>
    <row r="21" ht="12.75" customHeight="1">
      <c r="A21" s="2" t="s">
        <v>27</v>
      </c>
      <c r="B21" s="2">
        <f>B13*(D7-D6)</f>
        <v>43.14</v>
      </c>
      <c r="D21" s="2" t="s">
        <v>27</v>
      </c>
      <c r="E21" s="2">
        <v>0.0</v>
      </c>
      <c r="G21" s="2" t="s">
        <v>28</v>
      </c>
      <c r="H21" s="12">
        <f>(B23+B26-B21)/E14</f>
        <v>0.892451446</v>
      </c>
    </row>
    <row r="22" ht="12.75" customHeight="1">
      <c r="A22" s="2" t="s">
        <v>29</v>
      </c>
      <c r="B22" s="7">
        <f>4990*B21^0.71</f>
        <v>72254.59076</v>
      </c>
      <c r="D22" s="2" t="s">
        <v>29</v>
      </c>
      <c r="E22" s="7">
        <f>4990*E21^0.71</f>
        <v>0</v>
      </c>
      <c r="G22" s="2" t="s">
        <v>30</v>
      </c>
      <c r="H22" s="12">
        <f>(B23+B27-B21)/E14</f>
        <v>0.3767541102</v>
      </c>
    </row>
    <row r="23" ht="12.75" customHeight="1">
      <c r="A23" s="2" t="s">
        <v>31</v>
      </c>
      <c r="B23" s="7">
        <f>B13*(D4-D5)*0.98*0.97</f>
        <v>2584.30116</v>
      </c>
      <c r="D23" s="2" t="s">
        <v>31</v>
      </c>
      <c r="E23" s="2">
        <v>6000.0</v>
      </c>
    </row>
    <row r="24" ht="12.75" customHeight="1">
      <c r="A24" s="2" t="s">
        <v>32</v>
      </c>
      <c r="B24" s="7">
        <f>6000*B23^0.7</f>
        <v>1468221.016</v>
      </c>
      <c r="D24" s="2"/>
      <c r="E24" s="2"/>
      <c r="G24" s="1" t="s">
        <v>33</v>
      </c>
    </row>
    <row r="25" ht="12.75" customHeight="1">
      <c r="A25" s="2" t="s">
        <v>34</v>
      </c>
      <c r="B25" s="13">
        <f>B20+B22+B24</f>
        <v>3304772.835</v>
      </c>
      <c r="D25" s="2" t="s">
        <v>34</v>
      </c>
      <c r="E25" s="13">
        <f>E20+E22</f>
        <v>635466.6156</v>
      </c>
      <c r="G25" s="6">
        <f>B25/B23</f>
        <v>1278.787816</v>
      </c>
      <c r="H25" s="1" t="s">
        <v>35</v>
      </c>
    </row>
    <row r="26" ht="12.75" customHeight="1">
      <c r="A26" s="2" t="s">
        <v>36</v>
      </c>
      <c r="B26" s="7">
        <f>B13*(D5-D6)</f>
        <v>13336.74</v>
      </c>
      <c r="D26" s="2" t="s">
        <v>36</v>
      </c>
      <c r="E26" s="2">
        <f>B13*(K4-K5)</f>
        <v>12700.74</v>
      </c>
    </row>
    <row r="27" ht="12.75" customHeight="1">
      <c r="A27" s="2" t="s">
        <v>37</v>
      </c>
      <c r="B27" s="7">
        <f>B13*(F5-F6)</f>
        <v>4161.7968</v>
      </c>
      <c r="D27" s="2" t="s">
        <v>37</v>
      </c>
      <c r="E27" s="2"/>
    </row>
    <row r="28" ht="12.75" customHeight="1">
      <c r="A28" s="2" t="s">
        <v>38</v>
      </c>
      <c r="B28" s="13">
        <f>B25-E20</f>
        <v>2669306.22</v>
      </c>
    </row>
    <row r="29" ht="12.75" customHeight="1">
      <c r="M29" s="1" t="s">
        <v>39</v>
      </c>
      <c r="O29" s="1" t="s">
        <v>40</v>
      </c>
    </row>
    <row r="30" ht="12.75" customHeight="1">
      <c r="A30" s="2" t="s">
        <v>41</v>
      </c>
      <c r="B30" s="2" t="s">
        <v>42</v>
      </c>
      <c r="C30" s="2" t="s">
        <v>43</v>
      </c>
      <c r="D30" s="2" t="s">
        <v>44</v>
      </c>
      <c r="E30" s="2" t="s">
        <v>45</v>
      </c>
      <c r="F30" s="2" t="s">
        <v>46</v>
      </c>
      <c r="G30" s="2" t="s">
        <v>47</v>
      </c>
      <c r="H30" s="2" t="s">
        <v>48</v>
      </c>
      <c r="I30" s="2" t="s">
        <v>49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54</v>
      </c>
      <c r="O30" s="2" t="s">
        <v>53</v>
      </c>
      <c r="P30" s="2" t="s">
        <v>54</v>
      </c>
    </row>
    <row r="31" ht="12.75" customHeight="1">
      <c r="A31" s="2">
        <v>1.0</v>
      </c>
      <c r="B31" s="11">
        <f t="shared" ref="B31:B40" si="2">PMT($B$17,A31,-1)</f>
        <v>1.08</v>
      </c>
      <c r="C31" s="2">
        <v>0.05</v>
      </c>
      <c r="D31" s="12">
        <f t="shared" ref="D31:D40" si="3">((B31*($B$20+$B$22)/8000)+C31*$E$14+$E$15*$B$21)/($B$13*($D$4-$D$6))</f>
        <v>0.07119539183</v>
      </c>
      <c r="E31" s="12">
        <f t="shared" ref="E31:E40" si="4">((B31*($B$20+$B$22)/8000)+C31*$E$14+$E$15*$B$21)/($B$13*($F$4-$F$6))</f>
        <v>0.1589664103</v>
      </c>
      <c r="F31" s="12">
        <f t="shared" ref="F31:F40" si="5">B31*$B$24/(8000*$B$23)+D31*$B$13*($D$4-$D$5)/$B$23</f>
        <v>0.1515928698</v>
      </c>
      <c r="G31" s="12">
        <f t="shared" ref="G31:G40" si="6">B31*$B$24/(8000*$B$23)+E31*$B$13*($F$4-$F$5)/$B$23</f>
        <v>0.2630073354</v>
      </c>
      <c r="H31" s="7">
        <f t="shared" ref="H31:H40" si="7">$B$23*F31+($E$12-$B$23)*$E$15+D31*$B$26</f>
        <v>1781.90121</v>
      </c>
      <c r="I31" s="7">
        <f t="shared" ref="I31:I40" si="8">$B$23*G31+($E$12-$B$23)*$E$15+E31*$B$27</f>
        <v>1781.90121</v>
      </c>
      <c r="J31" s="12">
        <f t="shared" ref="J31:J40" si="9">((B31*($E$20+$E$22)/8000)+C31*$N$5+$E$15*$E$21)/($E$26)</f>
        <v>0.06212141915</v>
      </c>
      <c r="K31" s="14">
        <f t="shared" ref="K31:K40" si="10">$E$23*$E$15+J31*$E$26</f>
        <v>1562.987993</v>
      </c>
      <c r="L31" s="7">
        <f t="shared" ref="L31:L40" si="11">(K31-I31)*8000</f>
        <v>-1751305.734</v>
      </c>
      <c r="M31" s="15">
        <f t="shared" ref="M31:M40" si="12">PMT($B$17,A31,-$B$25)</f>
        <v>3569154.662</v>
      </c>
      <c r="N31" s="13">
        <f t="shared" ref="N31:N40" si="13">L31-M31</f>
        <v>-5320460.396</v>
      </c>
      <c r="O31" s="15">
        <f t="shared" ref="O31:O40" si="14">PMT($B$17,A31,-$B$28)</f>
        <v>2882850.717</v>
      </c>
      <c r="P31" s="13">
        <f t="shared" ref="P31:P40" si="15">L31-O31</f>
        <v>-4634156.451</v>
      </c>
    </row>
    <row r="32" ht="12.75" customHeight="1">
      <c r="A32" s="2">
        <v>2.0</v>
      </c>
      <c r="B32" s="11">
        <f t="shared" si="2"/>
        <v>0.5607692308</v>
      </c>
      <c r="C32" s="2">
        <f t="shared" ref="C32:C40" si="16">C31</f>
        <v>0.05</v>
      </c>
      <c r="D32" s="12">
        <f t="shared" si="3"/>
        <v>0.06377111575</v>
      </c>
      <c r="E32" s="12">
        <f t="shared" si="4"/>
        <v>0.142389347</v>
      </c>
      <c r="F32" s="12">
        <f t="shared" si="5"/>
        <v>0.1069089028</v>
      </c>
      <c r="G32" s="12">
        <f t="shared" si="6"/>
        <v>0.2067050356</v>
      </c>
      <c r="H32" s="7">
        <f t="shared" si="7"/>
        <v>1567.408742</v>
      </c>
      <c r="I32" s="7">
        <f t="shared" si="8"/>
        <v>1567.408742</v>
      </c>
      <c r="J32" s="12">
        <f t="shared" si="9"/>
        <v>0.05887403141</v>
      </c>
      <c r="K32" s="14">
        <f t="shared" si="10"/>
        <v>1521.743766</v>
      </c>
      <c r="L32" s="7">
        <f t="shared" si="11"/>
        <v>-365319.8118</v>
      </c>
      <c r="M32" s="15">
        <f t="shared" si="12"/>
        <v>1853214.921</v>
      </c>
      <c r="N32" s="13">
        <f t="shared" si="13"/>
        <v>-2218534.733</v>
      </c>
      <c r="O32" s="15">
        <f t="shared" si="14"/>
        <v>1496864.796</v>
      </c>
      <c r="P32" s="13">
        <f t="shared" si="15"/>
        <v>-1862184.607</v>
      </c>
    </row>
    <row r="33" ht="12.75" customHeight="1">
      <c r="A33" s="2">
        <v>3.0</v>
      </c>
      <c r="B33" s="11">
        <f t="shared" si="2"/>
        <v>0.388033514</v>
      </c>
      <c r="C33" s="2">
        <f t="shared" si="16"/>
        <v>0.05</v>
      </c>
      <c r="D33" s="12">
        <f t="shared" si="3"/>
        <v>0.06130123583</v>
      </c>
      <c r="E33" s="12">
        <f t="shared" si="4"/>
        <v>0.1368745526</v>
      </c>
      <c r="F33" s="12">
        <f t="shared" si="5"/>
        <v>0.09204361064</v>
      </c>
      <c r="G33" s="12">
        <f t="shared" si="6"/>
        <v>0.1879746007</v>
      </c>
      <c r="H33" s="7">
        <f t="shared" si="7"/>
        <v>1496.052204</v>
      </c>
      <c r="I33" s="7">
        <f t="shared" si="8"/>
        <v>1496.052204</v>
      </c>
      <c r="J33" s="12">
        <f t="shared" si="9"/>
        <v>0.05779370281</v>
      </c>
      <c r="K33" s="14">
        <f t="shared" si="10"/>
        <v>1508.022793</v>
      </c>
      <c r="L33" s="7">
        <f t="shared" si="11"/>
        <v>95764.71126</v>
      </c>
      <c r="M33" s="15">
        <f t="shared" si="12"/>
        <v>1282362.616</v>
      </c>
      <c r="N33" s="13">
        <f t="shared" si="13"/>
        <v>-1186597.905</v>
      </c>
      <c r="O33" s="15">
        <f t="shared" si="14"/>
        <v>1035780.273</v>
      </c>
      <c r="P33" s="13">
        <f t="shared" si="15"/>
        <v>-940015.5613</v>
      </c>
    </row>
    <row r="34" ht="12.75" customHeight="1">
      <c r="A34" s="2">
        <v>4.0</v>
      </c>
      <c r="B34" s="11">
        <f t="shared" si="2"/>
        <v>0.3019208045</v>
      </c>
      <c r="C34" s="2">
        <f t="shared" si="16"/>
        <v>0.05</v>
      </c>
      <c r="D34" s="12">
        <f t="shared" si="3"/>
        <v>0.06006994414</v>
      </c>
      <c r="E34" s="12">
        <f t="shared" si="4"/>
        <v>0.1341253014</v>
      </c>
      <c r="F34" s="12">
        <f t="shared" si="5"/>
        <v>0.08463292216</v>
      </c>
      <c r="G34" s="12">
        <f t="shared" si="6"/>
        <v>0.1786370501</v>
      </c>
      <c r="H34" s="7">
        <f t="shared" si="7"/>
        <v>1460.479336</v>
      </c>
      <c r="I34" s="7">
        <f t="shared" si="8"/>
        <v>1460.479336</v>
      </c>
      <c r="J34" s="12">
        <f t="shared" si="9"/>
        <v>0.05725513427</v>
      </c>
      <c r="K34" s="14">
        <f t="shared" si="10"/>
        <v>1501.182574</v>
      </c>
      <c r="L34" s="7">
        <f t="shared" si="11"/>
        <v>325625.9026</v>
      </c>
      <c r="M34" s="15">
        <f t="shared" si="12"/>
        <v>997779.673</v>
      </c>
      <c r="N34" s="13">
        <f t="shared" si="13"/>
        <v>-672153.7704</v>
      </c>
      <c r="O34" s="15">
        <f t="shared" si="14"/>
        <v>805919.0812</v>
      </c>
      <c r="P34" s="13">
        <f t="shared" si="15"/>
        <v>-480293.1786</v>
      </c>
    </row>
    <row r="35" ht="12.75" customHeight="1">
      <c r="A35" s="2">
        <v>5.0</v>
      </c>
      <c r="B35" s="11">
        <f t="shared" si="2"/>
        <v>0.2504564546</v>
      </c>
      <c r="C35" s="2">
        <f t="shared" si="16"/>
        <v>0.05</v>
      </c>
      <c r="D35" s="12">
        <f t="shared" si="3"/>
        <v>0.05933407569</v>
      </c>
      <c r="E35" s="12">
        <f t="shared" si="4"/>
        <v>0.1324822404</v>
      </c>
      <c r="F35" s="12">
        <f t="shared" si="5"/>
        <v>0.0802040026</v>
      </c>
      <c r="G35" s="12">
        <f t="shared" si="6"/>
        <v>0.1730565618</v>
      </c>
      <c r="H35" s="7">
        <f t="shared" si="7"/>
        <v>1439.219588</v>
      </c>
      <c r="I35" s="7">
        <f t="shared" si="8"/>
        <v>1439.219588</v>
      </c>
      <c r="J35" s="12">
        <f t="shared" si="9"/>
        <v>0.05693326447</v>
      </c>
      <c r="K35" s="14">
        <f t="shared" si="10"/>
        <v>1497.094589</v>
      </c>
      <c r="L35" s="7">
        <f t="shared" si="11"/>
        <v>463000.0118</v>
      </c>
      <c r="M35" s="15">
        <f t="shared" si="12"/>
        <v>827701.6875</v>
      </c>
      <c r="N35" s="13">
        <f t="shared" si="13"/>
        <v>-364701.6757</v>
      </c>
      <c r="O35" s="15">
        <f t="shared" si="14"/>
        <v>668544.972</v>
      </c>
      <c r="P35" s="13">
        <f t="shared" si="15"/>
        <v>-205544.9601</v>
      </c>
    </row>
    <row r="36" ht="12.75" customHeight="1">
      <c r="A36" s="2">
        <v>6.0</v>
      </c>
      <c r="B36" s="11">
        <f t="shared" si="2"/>
        <v>0.2163153862</v>
      </c>
      <c r="C36" s="2">
        <f t="shared" si="16"/>
        <v>0.05</v>
      </c>
      <c r="D36" s="12">
        <f t="shared" si="3"/>
        <v>0.05884590602</v>
      </c>
      <c r="E36" s="12">
        <f t="shared" si="4"/>
        <v>0.131392246</v>
      </c>
      <c r="F36" s="12">
        <f t="shared" si="5"/>
        <v>0.07726589017</v>
      </c>
      <c r="G36" s="12">
        <f t="shared" si="6"/>
        <v>0.1693545071</v>
      </c>
      <c r="H36" s="7">
        <f t="shared" si="7"/>
        <v>1425.116029</v>
      </c>
      <c r="I36" s="7">
        <f t="shared" si="8"/>
        <v>1425.116029</v>
      </c>
      <c r="J36" s="12">
        <f t="shared" si="9"/>
        <v>0.05671973844</v>
      </c>
      <c r="K36" s="14">
        <f t="shared" si="10"/>
        <v>1494.382651</v>
      </c>
      <c r="L36" s="7">
        <f t="shared" si="11"/>
        <v>554132.9779</v>
      </c>
      <c r="M36" s="15">
        <f t="shared" si="12"/>
        <v>714873.2123</v>
      </c>
      <c r="N36" s="13">
        <f t="shared" si="13"/>
        <v>-160740.2344</v>
      </c>
      <c r="O36" s="15">
        <f t="shared" si="14"/>
        <v>577412.0059</v>
      </c>
      <c r="P36" s="13">
        <f t="shared" si="15"/>
        <v>-23279.028</v>
      </c>
    </row>
    <row r="37" ht="12.75" customHeight="1">
      <c r="A37" s="2">
        <v>7.0</v>
      </c>
      <c r="B37" s="11">
        <f t="shared" si="2"/>
        <v>0.1920724014</v>
      </c>
      <c r="C37" s="2">
        <f t="shared" si="16"/>
        <v>0.05</v>
      </c>
      <c r="D37" s="12">
        <f t="shared" si="3"/>
        <v>0.05849926513</v>
      </c>
      <c r="E37" s="12">
        <f t="shared" si="4"/>
        <v>0.1306182597</v>
      </c>
      <c r="F37" s="12">
        <f t="shared" si="5"/>
        <v>0.07517958713</v>
      </c>
      <c r="G37" s="12">
        <f t="shared" si="6"/>
        <v>0.1667257419</v>
      </c>
      <c r="H37" s="7">
        <f t="shared" si="7"/>
        <v>1415.101334</v>
      </c>
      <c r="I37" s="7">
        <f t="shared" si="8"/>
        <v>1415.101334</v>
      </c>
      <c r="J37" s="12">
        <f t="shared" si="9"/>
        <v>0.05656811728</v>
      </c>
      <c r="K37" s="14">
        <f t="shared" si="10"/>
        <v>1492.45695</v>
      </c>
      <c r="L37" s="7">
        <f t="shared" si="11"/>
        <v>618844.928</v>
      </c>
      <c r="M37" s="15">
        <f t="shared" si="12"/>
        <v>634755.6547</v>
      </c>
      <c r="N37" s="13">
        <f t="shared" si="13"/>
        <v>-15910.72666</v>
      </c>
      <c r="O37" s="15">
        <f t="shared" si="14"/>
        <v>512700.0558</v>
      </c>
      <c r="P37" s="13">
        <f t="shared" si="15"/>
        <v>106144.8722</v>
      </c>
    </row>
    <row r="38" ht="12.75" customHeight="1">
      <c r="A38" s="2">
        <v>8.0</v>
      </c>
      <c r="B38" s="11">
        <f t="shared" si="2"/>
        <v>0.1740147606</v>
      </c>
      <c r="C38" s="2">
        <f t="shared" si="16"/>
        <v>0.05</v>
      </c>
      <c r="D38" s="12">
        <f t="shared" si="3"/>
        <v>0.05824106605</v>
      </c>
      <c r="E38" s="12">
        <f t="shared" si="4"/>
        <v>0.1300417479</v>
      </c>
      <c r="F38" s="12">
        <f t="shared" si="5"/>
        <v>0.07362558248</v>
      </c>
      <c r="G38" s="12">
        <f t="shared" si="6"/>
        <v>0.1647676786</v>
      </c>
      <c r="H38" s="7">
        <f t="shared" si="7"/>
        <v>1407.641784</v>
      </c>
      <c r="I38" s="7">
        <f t="shared" si="8"/>
        <v>1407.641784</v>
      </c>
      <c r="J38" s="12">
        <f t="shared" si="9"/>
        <v>0.05645518067</v>
      </c>
      <c r="K38" s="14">
        <f t="shared" si="10"/>
        <v>1491.022571</v>
      </c>
      <c r="L38" s="7">
        <f t="shared" si="11"/>
        <v>667046.301</v>
      </c>
      <c r="M38" s="15">
        <f t="shared" si="12"/>
        <v>575079.2538</v>
      </c>
      <c r="N38" s="13">
        <f t="shared" si="13"/>
        <v>91967.04725</v>
      </c>
      <c r="O38" s="15">
        <f t="shared" si="14"/>
        <v>464498.6828</v>
      </c>
      <c r="P38" s="13">
        <f t="shared" si="15"/>
        <v>202547.6182</v>
      </c>
    </row>
    <row r="39" ht="12.75" customHeight="1">
      <c r="A39" s="2">
        <v>9.0</v>
      </c>
      <c r="B39" s="11">
        <f t="shared" si="2"/>
        <v>0.1600797092</v>
      </c>
      <c r="C39" s="2">
        <f t="shared" si="16"/>
        <v>0.05</v>
      </c>
      <c r="D39" s="12">
        <f t="shared" si="3"/>
        <v>0.05804181424</v>
      </c>
      <c r="E39" s="12">
        <f t="shared" si="4"/>
        <v>0.1295968548</v>
      </c>
      <c r="F39" s="12">
        <f t="shared" si="5"/>
        <v>0.07242635968</v>
      </c>
      <c r="G39" s="12">
        <f t="shared" si="6"/>
        <v>0.1632566444</v>
      </c>
      <c r="H39" s="7">
        <f t="shared" si="7"/>
        <v>1401.885261</v>
      </c>
      <c r="I39" s="7">
        <f t="shared" si="8"/>
        <v>1401.885261</v>
      </c>
      <c r="J39" s="12">
        <f t="shared" si="9"/>
        <v>0.05636802768</v>
      </c>
      <c r="K39" s="14">
        <f t="shared" si="10"/>
        <v>1489.915664</v>
      </c>
      <c r="L39" s="7">
        <f t="shared" si="11"/>
        <v>704243.2204</v>
      </c>
      <c r="M39" s="15">
        <f t="shared" si="12"/>
        <v>529027.0744</v>
      </c>
      <c r="N39" s="13">
        <f t="shared" si="13"/>
        <v>175216.1461</v>
      </c>
      <c r="O39" s="15">
        <f t="shared" si="14"/>
        <v>427301.7634</v>
      </c>
      <c r="P39" s="13">
        <f t="shared" si="15"/>
        <v>276941.4571</v>
      </c>
    </row>
    <row r="40" ht="12.75" customHeight="1">
      <c r="A40" s="2">
        <v>10.0</v>
      </c>
      <c r="B40" s="11">
        <f t="shared" si="2"/>
        <v>0.1490294887</v>
      </c>
      <c r="C40" s="2">
        <f t="shared" si="16"/>
        <v>0.05</v>
      </c>
      <c r="D40" s="12">
        <f t="shared" si="3"/>
        <v>0.05788381149</v>
      </c>
      <c r="E40" s="12">
        <f t="shared" si="4"/>
        <v>0.1292440632</v>
      </c>
      <c r="F40" s="12">
        <f t="shared" si="5"/>
        <v>0.07147539969</v>
      </c>
      <c r="G40" s="12">
        <f t="shared" si="6"/>
        <v>0.1620584242</v>
      </c>
      <c r="H40" s="7">
        <f t="shared" si="7"/>
        <v>1397.320453</v>
      </c>
      <c r="I40" s="7">
        <f t="shared" si="8"/>
        <v>1397.320453</v>
      </c>
      <c r="J40" s="12">
        <f t="shared" si="9"/>
        <v>0.05629891708</v>
      </c>
      <c r="K40" s="14">
        <f t="shared" si="10"/>
        <v>1489.037908</v>
      </c>
      <c r="L40" s="7">
        <f t="shared" si="11"/>
        <v>733739.6427</v>
      </c>
      <c r="M40" s="15">
        <f t="shared" si="12"/>
        <v>492508.6059</v>
      </c>
      <c r="N40" s="13">
        <f t="shared" si="13"/>
        <v>241231.0368</v>
      </c>
      <c r="O40" s="15">
        <f t="shared" si="14"/>
        <v>397805.3411</v>
      </c>
      <c r="P40" s="13">
        <f t="shared" si="15"/>
        <v>335934.3016</v>
      </c>
    </row>
    <row r="41" ht="12.75" customHeight="1"/>
    <row r="42" ht="12.75" customHeight="1"/>
    <row r="43" ht="12.75" customHeight="1">
      <c r="A43" s="9" t="s">
        <v>55</v>
      </c>
      <c r="B43" s="10"/>
      <c r="C43" s="2"/>
    </row>
    <row r="44" ht="12.75" customHeight="1">
      <c r="A44" s="9" t="s">
        <v>34</v>
      </c>
      <c r="B44" s="10"/>
      <c r="C44" s="13">
        <f>B25</f>
        <v>3304772.835</v>
      </c>
    </row>
    <row r="45" ht="12.75" customHeight="1">
      <c r="A45" s="9" t="s">
        <v>56</v>
      </c>
      <c r="B45" s="10"/>
      <c r="C45" s="7">
        <f>L35</f>
        <v>463000.0118</v>
      </c>
    </row>
    <row r="46" ht="12.75" customHeight="1">
      <c r="A46" s="9" t="s">
        <v>57</v>
      </c>
      <c r="B46" s="10"/>
      <c r="C46" s="2">
        <v>0.08</v>
      </c>
    </row>
    <row r="47" ht="12.75" customHeight="1">
      <c r="A47" s="9" t="s">
        <v>58</v>
      </c>
      <c r="B47" s="10"/>
      <c r="C47" s="2">
        <v>5.0</v>
      </c>
    </row>
    <row r="48" ht="12.75" customHeight="1">
      <c r="A48" s="9" t="s">
        <v>59</v>
      </c>
      <c r="B48" s="10"/>
      <c r="C48" s="16">
        <f>NPER(C46,C45,-C44)</f>
        <v>10.99702855</v>
      </c>
    </row>
    <row r="49" ht="12.75" customHeight="1"/>
    <row r="50" ht="12.75" customHeight="1">
      <c r="A50" s="9" t="s">
        <v>40</v>
      </c>
      <c r="B50" s="10"/>
      <c r="C50" s="2"/>
    </row>
    <row r="51" ht="12.75" customHeight="1">
      <c r="A51" s="9" t="s">
        <v>34</v>
      </c>
      <c r="B51" s="10"/>
      <c r="C51" s="13">
        <f>B28</f>
        <v>2669306.22</v>
      </c>
    </row>
    <row r="52" ht="12.75" customHeight="1">
      <c r="A52" s="9" t="s">
        <v>56</v>
      </c>
      <c r="B52" s="10"/>
      <c r="C52" s="7">
        <f t="shared" ref="C52:C54" si="17">C45</f>
        <v>463000.0118</v>
      </c>
    </row>
    <row r="53" ht="12.75" customHeight="1">
      <c r="A53" s="9" t="s">
        <v>57</v>
      </c>
      <c r="B53" s="10"/>
      <c r="C53" s="2">
        <f t="shared" si="17"/>
        <v>0.08</v>
      </c>
    </row>
    <row r="54" ht="12.75" customHeight="1">
      <c r="A54" s="9" t="s">
        <v>58</v>
      </c>
      <c r="B54" s="10"/>
      <c r="C54" s="2">
        <f t="shared" si="17"/>
        <v>5</v>
      </c>
    </row>
    <row r="55" ht="12.75" customHeight="1">
      <c r="A55" s="9" t="s">
        <v>59</v>
      </c>
      <c r="B55" s="10"/>
      <c r="C55" s="16">
        <f>NPER(C53,C52,-C51)</f>
        <v>8.035838274</v>
      </c>
    </row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">
    <mergeCell ref="A50:B50"/>
    <mergeCell ref="A51:B51"/>
    <mergeCell ref="A52:B52"/>
    <mergeCell ref="A53:B53"/>
    <mergeCell ref="A54:B54"/>
    <mergeCell ref="A55:B55"/>
    <mergeCell ref="G19:H19"/>
    <mergeCell ref="A43:B43"/>
    <mergeCell ref="A44:B44"/>
    <mergeCell ref="A45:B45"/>
    <mergeCell ref="A46:B46"/>
    <mergeCell ref="A47:B47"/>
    <mergeCell ref="A48:B48"/>
  </mergeCells>
  <printOptions/>
  <pageMargins bottom="0.75" footer="0.0" header="0.0" left="0.7" right="0.7" top="0.75"/>
  <pageSetup orientation="landscape"/>
  <drawing r:id="rId1"/>
</worksheet>
</file>