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465" windowHeight="9330" tabRatio="923" activeTab="3"/>
  </bookViews>
  <sheets>
    <sheet name="Transp" sheetId="1" r:id="rId1"/>
    <sheet name="Pav Ríg" sheetId="2" r:id="rId2"/>
    <sheet name="Carga Ríg" sheetId="3" r:id="rId3"/>
    <sheet name="Pav Flex" sheetId="4" r:id="rId4"/>
    <sheet name="Carga Flex" sheetId="5" r:id="rId5"/>
    <sheet name="Informe de compatibilidad" sheetId="6" r:id="rId6"/>
    <sheet name="Informe de compatibilidad (1)" sheetId="7" r:id="rId7"/>
  </sheets>
  <definedNames/>
  <calcPr fullCalcOnLoad="1"/>
</workbook>
</file>

<file path=xl/comments4.xml><?xml version="1.0" encoding="utf-8"?>
<comments xmlns="http://schemas.openxmlformats.org/spreadsheetml/2006/main">
  <authors>
    <author>CSI</author>
    <author>Eduardo</author>
  </authors>
  <commentList>
    <comment ref="N39" authorId="0">
      <text>
        <r>
          <rPr>
            <sz val="10"/>
            <rFont val="Tahoma"/>
            <family val="2"/>
          </rPr>
          <t>Fig. 15.5 cont
Pág 517</t>
        </r>
      </text>
    </comment>
    <comment ref="N32" authorId="1">
      <text>
        <r>
          <rPr>
            <sz val="8"/>
            <rFont val="Tahoma"/>
            <family val="2"/>
          </rPr>
          <t>Se agrega un 10% extra por la subestimación de ESAL (cálculo sobre pesos promedios en lugar de promedios de ESAL's)</t>
        </r>
      </text>
    </comment>
  </commentList>
</comments>
</file>

<file path=xl/sharedStrings.xml><?xml version="1.0" encoding="utf-8"?>
<sst xmlns="http://schemas.openxmlformats.org/spreadsheetml/2006/main" count="1448" uniqueCount="215">
  <si>
    <t>Tipo de Vehículo</t>
  </si>
  <si>
    <t>Categ.</t>
  </si>
  <si>
    <t>Clasif.</t>
  </si>
  <si>
    <t>Volumen de Vehículos</t>
  </si>
  <si>
    <t>Conceptos</t>
  </si>
  <si>
    <t>Cant.</t>
  </si>
  <si>
    <t>Porc.</t>
  </si>
  <si>
    <t>Valor promedio de la carga</t>
  </si>
  <si>
    <t>por eje y grupos de ejes (kg)</t>
  </si>
  <si>
    <t>Bruto</t>
  </si>
  <si>
    <t>Eje 1</t>
  </si>
  <si>
    <t>Eje 2</t>
  </si>
  <si>
    <t>Eje 3</t>
  </si>
  <si>
    <t>Eje 4</t>
  </si>
  <si>
    <t>Eje 5</t>
  </si>
  <si>
    <t>Eje 6</t>
  </si>
  <si>
    <t>Tan 1</t>
  </si>
  <si>
    <t>Tan 2</t>
  </si>
  <si>
    <t>Tri 1</t>
  </si>
  <si>
    <t>ESALs</t>
  </si>
  <si>
    <t>Ce</t>
  </si>
  <si>
    <t>O11</t>
  </si>
  <si>
    <t>Descargados</t>
  </si>
  <si>
    <t>Subcargados</t>
  </si>
  <si>
    <t>Cargados</t>
  </si>
  <si>
    <t>Sobrecargados</t>
  </si>
  <si>
    <t>O12</t>
  </si>
  <si>
    <t>O22</t>
  </si>
  <si>
    <t>C11</t>
  </si>
  <si>
    <t>C12</t>
  </si>
  <si>
    <t>C22</t>
  </si>
  <si>
    <t>T11S1</t>
  </si>
  <si>
    <t>T11S2</t>
  </si>
  <si>
    <t>T12S1</t>
  </si>
  <si>
    <t>T11S11</t>
  </si>
  <si>
    <t>C11R11</t>
  </si>
  <si>
    <t>T11S3</t>
  </si>
  <si>
    <t>T12S2</t>
  </si>
  <si>
    <t>T11S12</t>
  </si>
  <si>
    <t>T12S11</t>
  </si>
  <si>
    <t>T12S3</t>
  </si>
  <si>
    <t>C11R12</t>
  </si>
  <si>
    <t>C12R11</t>
  </si>
  <si>
    <t>C12R12</t>
  </si>
  <si>
    <t>T11S111</t>
  </si>
  <si>
    <t>T12S111</t>
  </si>
  <si>
    <t>Todos</t>
  </si>
  <si>
    <t>Sentido: hacia el Norte</t>
  </si>
  <si>
    <t>Censo de cargas</t>
  </si>
  <si>
    <t>TIPO DE VEHICULO</t>
  </si>
  <si>
    <t>TRANSITO TOTAL</t>
  </si>
  <si>
    <t>Porcentaje</t>
  </si>
  <si>
    <t>Categorías</t>
  </si>
  <si>
    <t>Estad.</t>
  </si>
  <si>
    <t>TOTAL</t>
  </si>
  <si>
    <t>y Coef. de Equivalencia (Ce)</t>
  </si>
  <si>
    <t>Ruta X, progresiva 205K000</t>
  </si>
  <si>
    <t>por tipo de ejes (kips)</t>
  </si>
  <si>
    <t>Sim 1</t>
  </si>
  <si>
    <t>Sim 2</t>
  </si>
  <si>
    <t>Sim 3</t>
  </si>
  <si>
    <t>Sim 4</t>
  </si>
  <si>
    <t>Sim 5</t>
  </si>
  <si>
    <t>SN =</t>
  </si>
  <si>
    <t>pt =</t>
  </si>
  <si>
    <t>1.000 kg =</t>
  </si>
  <si>
    <t>Cálculo analítico de ESALs</t>
  </si>
  <si>
    <t>para el SN y pt adoptados</t>
  </si>
  <si>
    <t>Cálculo estadístico de ESALs</t>
  </si>
  <si>
    <t>ESAL's Diseño</t>
  </si>
  <si>
    <t>Tasas</t>
  </si>
  <si>
    <t>Año inicio :</t>
  </si>
  <si>
    <t>Año:</t>
  </si>
  <si>
    <t>Ecuación de Diseño</t>
  </si>
  <si>
    <t>Subrasante</t>
  </si>
  <si>
    <t>S =</t>
  </si>
  <si>
    <t>R =</t>
  </si>
  <si>
    <t>Diferencia =</t>
  </si>
  <si>
    <t>Log Wt18 objetivo =</t>
  </si>
  <si>
    <t>Proceso de Diseño</t>
  </si>
  <si>
    <t>Materiales</t>
  </si>
  <si>
    <t xml:space="preserve">CBR 20% </t>
  </si>
  <si>
    <t>CBR 40%</t>
  </si>
  <si>
    <t>CBR 80%</t>
  </si>
  <si>
    <t>Costo</t>
  </si>
  <si>
    <t>Mezcla asfáltica</t>
  </si>
  <si>
    <t>Hormigón</t>
  </si>
  <si>
    <t>S</t>
  </si>
  <si>
    <t>Triturado</t>
  </si>
  <si>
    <t>CBR 100%</t>
  </si>
  <si>
    <t>Dato Extra</t>
  </si>
  <si>
    <t>Estabilidad 1.800</t>
  </si>
  <si>
    <t>SN Sup</t>
  </si>
  <si>
    <t>Soluciones</t>
  </si>
  <si>
    <t>SN inc</t>
  </si>
  <si>
    <t>a (in)</t>
  </si>
  <si>
    <t>a (cm)</t>
  </si>
  <si>
    <t>E min</t>
  </si>
  <si>
    <t>E Ad</t>
  </si>
  <si>
    <t>Rev</t>
  </si>
  <si>
    <t>Riegos</t>
  </si>
  <si>
    <t>Total</t>
  </si>
  <si>
    <t>#</t>
  </si>
  <si>
    <t>Semirigido</t>
  </si>
  <si>
    <t>Con triturado</t>
  </si>
  <si>
    <t>Todo granular natural</t>
  </si>
  <si>
    <t>por tipo de ejes (tons)</t>
  </si>
  <si>
    <t>Tasa</t>
  </si>
  <si>
    <t>TPDA</t>
  </si>
  <si>
    <t>Simples</t>
  </si>
  <si>
    <t>Cant</t>
  </si>
  <si>
    <t>Acum</t>
  </si>
  <si>
    <t>% Ac</t>
  </si>
  <si>
    <t>Triples</t>
  </si>
  <si>
    <t>Tandem</t>
  </si>
  <si>
    <t>en kg</t>
  </si>
  <si>
    <t>Diseño con base cementada</t>
  </si>
  <si>
    <t>CBR 3%</t>
  </si>
  <si>
    <t>Base cementada</t>
  </si>
  <si>
    <t>k =</t>
  </si>
  <si>
    <r>
      <t>P</t>
    </r>
    <r>
      <rPr>
        <sz val="10"/>
        <rFont val="Arial"/>
        <family val="0"/>
      </rPr>
      <t xml:space="preserve"> =</t>
    </r>
  </si>
  <si>
    <t>Carga de cálculo</t>
  </si>
  <si>
    <t>h =</t>
  </si>
  <si>
    <r>
      <t xml:space="preserve">Espesor con </t>
    </r>
    <r>
      <rPr>
        <sz val="10"/>
        <rFont val="Arial"/>
        <family val="2"/>
      </rPr>
      <t>σ</t>
    </r>
    <r>
      <rPr>
        <sz val="10"/>
        <rFont val="Arial"/>
        <family val="0"/>
      </rPr>
      <t xml:space="preserve"> = 25,0 kg/cm2</t>
    </r>
  </si>
  <si>
    <t>Relación de espesores</t>
  </si>
  <si>
    <t>h' / h =</t>
  </si>
  <si>
    <t>Ejes simples</t>
  </si>
  <si>
    <t>k = 8,3</t>
  </si>
  <si>
    <t>Carga</t>
  </si>
  <si>
    <t>h</t>
  </si>
  <si>
    <t>k = 2,8</t>
  </si>
  <si>
    <t>k = 5,5</t>
  </si>
  <si>
    <t>k = 11,1</t>
  </si>
  <si>
    <t>k = 13,9</t>
  </si>
  <si>
    <t>Ecuaciones de espesor</t>
  </si>
  <si>
    <t>Ecuación de ajuste de espesor</t>
  </si>
  <si>
    <t>h' / h</t>
  </si>
  <si>
    <t>σf</t>
  </si>
  <si>
    <t>Ejes tandem</t>
  </si>
  <si>
    <t>Consumo de repeticiones</t>
  </si>
  <si>
    <t>N</t>
  </si>
  <si>
    <t>σ / σ'f</t>
  </si>
  <si>
    <t>Hormigón (σ de rotura)</t>
  </si>
  <si>
    <t>Hormigón (σ admisible)</t>
  </si>
  <si>
    <r>
      <t xml:space="preserve">σ'f </t>
    </r>
    <r>
      <rPr>
        <sz val="10"/>
        <rFont val="Arial"/>
        <family val="0"/>
      </rPr>
      <t>=</t>
    </r>
  </si>
  <si>
    <r>
      <t xml:space="preserve">σf </t>
    </r>
    <r>
      <rPr>
        <sz val="10"/>
        <rFont val="Arial"/>
        <family val="0"/>
      </rPr>
      <t>=</t>
    </r>
  </si>
  <si>
    <r>
      <t xml:space="preserve">Espesor con </t>
    </r>
    <r>
      <rPr>
        <sz val="10"/>
        <rFont val="Arial"/>
        <family val="2"/>
      </rPr>
      <t>σf</t>
    </r>
  </si>
  <si>
    <t>Espesor adoptado</t>
  </si>
  <si>
    <t>Repet</t>
  </si>
  <si>
    <t>Repeticiones de ejes en el período de diseño (miles)</t>
  </si>
  <si>
    <t>Espes</t>
  </si>
  <si>
    <t>Relac</t>
  </si>
  <si>
    <t>Tens</t>
  </si>
  <si>
    <t>%</t>
  </si>
  <si>
    <t>eje</t>
  </si>
  <si>
    <t>(miles)</t>
  </si>
  <si>
    <t>h' =</t>
  </si>
  <si>
    <t>Cons</t>
  </si>
  <si>
    <t>Control de repeticiones admisibles</t>
  </si>
  <si>
    <t>Base granular</t>
  </si>
  <si>
    <t>Diseño con base granular</t>
  </si>
  <si>
    <t>Perfil</t>
  </si>
  <si>
    <t>600 psi a 7 días</t>
  </si>
  <si>
    <t>Factor acumul.</t>
  </si>
  <si>
    <t>CBR =</t>
  </si>
  <si>
    <t>Riego imprimación</t>
  </si>
  <si>
    <t>Riego adherencia</t>
  </si>
  <si>
    <t>Base Cementada</t>
  </si>
  <si>
    <t>Fact. Regional</t>
  </si>
  <si>
    <t>Log Wt18 diseño =</t>
  </si>
  <si>
    <t>U$S/m2</t>
  </si>
  <si>
    <t>Ancho calzada</t>
  </si>
  <si>
    <t>Ancho banquina</t>
  </si>
  <si>
    <t>Mezcla en banq.</t>
  </si>
  <si>
    <t>PUnit</t>
  </si>
  <si>
    <t>Pav/km</t>
  </si>
  <si>
    <t>Ban/km</t>
  </si>
  <si>
    <t>Tot/km</t>
  </si>
  <si>
    <t>Conteo de ejes en el período de diseño</t>
  </si>
  <si>
    <t>Período :</t>
  </si>
  <si>
    <t>Tasa crecimiento camiones :</t>
  </si>
  <si>
    <t>Tasa crecimiento buses :</t>
  </si>
  <si>
    <t xml:space="preserve">Factor de seguridad : </t>
  </si>
  <si>
    <t>Tipo</t>
  </si>
  <si>
    <t>Arena</t>
  </si>
  <si>
    <t>Arcilla o limo</t>
  </si>
  <si>
    <t>B. Cement. 10 cm</t>
  </si>
  <si>
    <t>B. Cement. 12,5 cm</t>
  </si>
  <si>
    <t>B. Cement. 15 cm</t>
  </si>
  <si>
    <t>k</t>
  </si>
  <si>
    <t>ESTA RESOLUCIÓN HAY QUE MEJORARLA</t>
  </si>
  <si>
    <t>Mejorar ecuaciones de los ábacos de la versión 1977 del ICPA</t>
  </si>
  <si>
    <t>Intentar generar ecuaciones del ábaco para ejes triples</t>
  </si>
  <si>
    <t>Densidad Mezcla</t>
  </si>
  <si>
    <t>Continuo</t>
  </si>
  <si>
    <t>Sub+Base</t>
  </si>
  <si>
    <t>Dobles</t>
  </si>
  <si>
    <t>Base</t>
  </si>
  <si>
    <t>En banq.</t>
  </si>
  <si>
    <t>Cant. Vehículos (miles)</t>
  </si>
  <si>
    <t>Ejes triples</t>
  </si>
  <si>
    <t>Infinito</t>
  </si>
  <si>
    <t>Informe de compatibilidad para ejercicioproyecto2010.xls</t>
  </si>
  <si>
    <t>Ejecutar el 21/03/2010 08:17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</si>
  <si>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</si>
  <si>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</si>
  <si>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</si>
  <si>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</si>
  <si>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Ruta 3, progresiva 267K610000</t>
  </si>
  <si>
    <t>P83/003-268</t>
  </si>
  <si>
    <t>hacia el SUR</t>
  </si>
  <si>
    <t>ESAL's analíticos 2008</t>
  </si>
  <si>
    <t>ESAL's estadísticos 2008</t>
  </si>
  <si>
    <t>Informe de compatibilidad para ejercicioproyecto2010versioncorr.xls</t>
  </si>
  <si>
    <t>Ejecutar el 12/09/2012 8:49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</si>
</sst>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_ &quot;$U&quot;\ * #,##0_ ;_ &quot;$U&quot;\ * \-#,##0_ ;_ &quot;$U&quot;\ * &quot;-&quot;_ ;_ @_ "/>
    <numFmt numFmtId="181" formatCode="_ * #,##0_ ;_ * \-#,##0_ ;_ * &quot;-&quot;_ ;_ @_ "/>
    <numFmt numFmtId="182" formatCode="_ &quot;$U&quot;\ * #,##0.00_ ;_ &quot;$U&quot;\ * \-#,##0.00_ ;_ &quot;$U&quot;\ * &quot;-&quot;??_ ;_ @_ "/>
    <numFmt numFmtId="183" formatCode="_ * #,##0.00_ ;_ * \-#,##0.00_ ;_ * &quot;-&quot;??_ ;_ @_ "/>
    <numFmt numFmtId="184" formatCode="0.0%"/>
    <numFmt numFmtId="185" formatCode="#,##0.0"/>
    <numFmt numFmtId="186" formatCode="0.0"/>
    <numFmt numFmtId="187" formatCode="#,##0.000\ \k\i\p;\-#,##0.000\ \k\i\p"/>
    <numFmt numFmtId="188" formatCode="0.000"/>
    <numFmt numFmtId="189" formatCode="#,##0\ &quot;U$S/m3&quot;;\-#,##0\ &quot;U$S/m3&quot;"/>
    <numFmt numFmtId="190" formatCode="#,##0\ &quot;U$S/ton&quot;;\-#,##0\ &quot;U$S/ton&quot;"/>
    <numFmt numFmtId="191" formatCode="#,##0.0\ &quot;U$S/m2&quot;;\-#,##0.0\ &quot;U$S/m2&quot;"/>
    <numFmt numFmtId="192" formatCode="#,##0\ &quot;cm&quot;;\-#,##0\ &quot;cm&quot;"/>
    <numFmt numFmtId="193" formatCode="#,##0.0\ &quot;cm&quot;;\-#,##0.0\ &quot;cm&quot;"/>
    <numFmt numFmtId="194" formatCode="#,##0.0\ &quot;kg/cm2&quot;;\-#,##0.0\ &quot;kg/cm2&quot;"/>
    <numFmt numFmtId="195" formatCode="#,##0.0\ &quot;kg/cm3&quot;;\-#,##0.0\ &quot;kg/cm3&quot;"/>
    <numFmt numFmtId="196" formatCode="#,##0\ &quot;kg&quot;;\-#,##0\ &quot;kg&quot;"/>
    <numFmt numFmtId="197" formatCode="#,##0\ &quot;kg/cm2&quot;;\-#,##0\ &quot;kg/cm2&quot;"/>
    <numFmt numFmtId="198" formatCode="#,##0.000\ &quot;kg/cm2&quot;;\-#,##0.000\ &quot;kg/cm2&quot;"/>
    <numFmt numFmtId="199" formatCode="#,##0.0\ &quot;m&quot;;\-#,##0.0\ &quot;m&quot;"/>
    <numFmt numFmtId="200" formatCode="#,##0.0\ &quot;ton/m3&quot;;\-#,##0.0\ &quot;ton/m3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9">
    <xf numFmtId="0" fontId="0" fillId="0" borderId="0" xfId="0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9" fontId="0" fillId="33" borderId="19" xfId="0" applyNumberFormat="1" applyFill="1" applyBorder="1" applyAlignment="1">
      <alignment horizontal="center"/>
    </xf>
    <xf numFmtId="9" fontId="0" fillId="33" borderId="20" xfId="0" applyNumberFormat="1" applyFill="1" applyBorder="1" applyAlignment="1">
      <alignment horizontal="center"/>
    </xf>
    <xf numFmtId="9" fontId="0" fillId="33" borderId="2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3" fontId="0" fillId="0" borderId="14" xfId="0" applyNumberFormat="1" applyFill="1" applyBorder="1" applyAlignment="1">
      <alignment horizontal="center"/>
    </xf>
    <xf numFmtId="9" fontId="0" fillId="0" borderId="2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3" fontId="0" fillId="0" borderId="15" xfId="0" applyNumberFormat="1" applyFill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20" xfId="0" applyNumberFormat="1" applyBorder="1" applyAlignment="1">
      <alignment/>
    </xf>
    <xf numFmtId="184" fontId="0" fillId="0" borderId="14" xfId="0" applyNumberFormat="1" applyBorder="1" applyAlignment="1">
      <alignment vertical="center"/>
    </xf>
    <xf numFmtId="184" fontId="0" fillId="0" borderId="20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5" fontId="0" fillId="0" borderId="30" xfId="0" applyNumberForma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0" fillId="0" borderId="32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0" fillId="0" borderId="20" xfId="0" applyNumberFormat="1" applyBorder="1" applyAlignment="1">
      <alignment horizontal="center"/>
    </xf>
    <xf numFmtId="185" fontId="0" fillId="0" borderId="33" xfId="0" applyNumberFormat="1" applyBorder="1" applyAlignment="1">
      <alignment horizontal="center"/>
    </xf>
    <xf numFmtId="185" fontId="0" fillId="0" borderId="15" xfId="0" applyNumberFormat="1" applyBorder="1" applyAlignment="1">
      <alignment horizontal="center"/>
    </xf>
    <xf numFmtId="185" fontId="0" fillId="0" borderId="34" xfId="0" applyNumberFormat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35" xfId="0" applyNumberFormat="1" applyBorder="1" applyAlignment="1">
      <alignment horizontal="center"/>
    </xf>
    <xf numFmtId="185" fontId="0" fillId="33" borderId="13" xfId="0" applyNumberFormat="1" applyFill="1" applyBorder="1" applyAlignment="1">
      <alignment horizontal="center"/>
    </xf>
    <xf numFmtId="185" fontId="0" fillId="33" borderId="30" xfId="0" applyNumberFormat="1" applyFill="1" applyBorder="1" applyAlignment="1">
      <alignment horizontal="center"/>
    </xf>
    <xf numFmtId="185" fontId="0" fillId="33" borderId="16" xfId="0" applyNumberFormat="1" applyFill="1" applyBorder="1" applyAlignment="1">
      <alignment horizontal="center"/>
    </xf>
    <xf numFmtId="185" fontId="0" fillId="33" borderId="19" xfId="0" applyNumberFormat="1" applyFill="1" applyBorder="1" applyAlignment="1">
      <alignment horizontal="center"/>
    </xf>
    <xf numFmtId="185" fontId="0" fillId="33" borderId="31" xfId="0" applyNumberForma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32" xfId="0" applyNumberForma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5" fontId="0" fillId="33" borderId="20" xfId="0" applyNumberFormat="1" applyFill="1" applyBorder="1" applyAlignment="1">
      <alignment horizontal="center"/>
    </xf>
    <xf numFmtId="185" fontId="0" fillId="33" borderId="33" xfId="0" applyNumberFormat="1" applyFill="1" applyBorder="1" applyAlignment="1">
      <alignment horizontal="center"/>
    </xf>
    <xf numFmtId="185" fontId="0" fillId="33" borderId="15" xfId="0" applyNumberFormat="1" applyFill="1" applyBorder="1" applyAlignment="1">
      <alignment horizontal="center"/>
    </xf>
    <xf numFmtId="185" fontId="0" fillId="33" borderId="34" xfId="0" applyNumberFormat="1" applyFill="1" applyBorder="1" applyAlignment="1">
      <alignment horizontal="center"/>
    </xf>
    <xf numFmtId="185" fontId="0" fillId="33" borderId="18" xfId="0" applyNumberFormat="1" applyFill="1" applyBorder="1" applyAlignment="1">
      <alignment horizontal="center"/>
    </xf>
    <xf numFmtId="185" fontId="0" fillId="33" borderId="21" xfId="0" applyNumberFormat="1" applyFill="1" applyBorder="1" applyAlignment="1">
      <alignment horizontal="center"/>
    </xf>
    <xf numFmtId="185" fontId="0" fillId="33" borderId="35" xfId="0" applyNumberFormat="1" applyFill="1" applyBorder="1" applyAlignment="1">
      <alignment horizontal="center"/>
    </xf>
    <xf numFmtId="185" fontId="0" fillId="0" borderId="13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185" fontId="0" fillId="0" borderId="19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2" xfId="0" applyNumberFormat="1" applyFill="1" applyBorder="1" applyAlignment="1">
      <alignment horizontal="center"/>
    </xf>
    <xf numFmtId="185" fontId="0" fillId="0" borderId="20" xfId="0" applyNumberFormat="1" applyFill="1" applyBorder="1" applyAlignment="1">
      <alignment horizontal="center"/>
    </xf>
    <xf numFmtId="185" fontId="0" fillId="0" borderId="15" xfId="0" applyNumberFormat="1" applyFill="1" applyBorder="1" applyAlignment="1">
      <alignment horizontal="center"/>
    </xf>
    <xf numFmtId="185" fontId="0" fillId="0" borderId="34" xfId="0" applyNumberFormat="1" applyFill="1" applyBorder="1" applyAlignment="1">
      <alignment horizontal="center"/>
    </xf>
    <xf numFmtId="185" fontId="0" fillId="0" borderId="21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186" fontId="1" fillId="0" borderId="0" xfId="0" applyNumberFormat="1" applyFont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30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9" xfId="0" applyNumberFormat="1" applyFill="1" applyBorder="1" applyAlignment="1">
      <alignment horizontal="center"/>
    </xf>
    <xf numFmtId="4" fontId="0" fillId="33" borderId="31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33" borderId="32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0" fillId="33" borderId="3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9" fontId="0" fillId="0" borderId="13" xfId="55" applyFont="1" applyFill="1" applyBorder="1" applyAlignment="1">
      <alignment horizontal="center"/>
    </xf>
    <xf numFmtId="9" fontId="0" fillId="0" borderId="14" xfId="55" applyFont="1" applyFill="1" applyBorder="1" applyAlignment="1">
      <alignment horizontal="center"/>
    </xf>
    <xf numFmtId="9" fontId="0" fillId="0" borderId="15" xfId="55" applyFont="1" applyFill="1" applyBorder="1" applyAlignment="1">
      <alignment horizontal="center"/>
    </xf>
    <xf numFmtId="9" fontId="0" fillId="33" borderId="13" xfId="55" applyFont="1" applyFill="1" applyBorder="1" applyAlignment="1">
      <alignment horizontal="center"/>
    </xf>
    <xf numFmtId="9" fontId="0" fillId="33" borderId="14" xfId="55" applyFont="1" applyFill="1" applyBorder="1" applyAlignment="1">
      <alignment horizontal="center"/>
    </xf>
    <xf numFmtId="9" fontId="0" fillId="33" borderId="15" xfId="55" applyFont="1" applyFill="1" applyBorder="1" applyAlignment="1">
      <alignment horizontal="center"/>
    </xf>
    <xf numFmtId="184" fontId="0" fillId="0" borderId="20" xfId="55" applyNumberFormat="1" applyFont="1" applyBorder="1" applyAlignment="1">
      <alignment horizontal="center"/>
    </xf>
    <xf numFmtId="184" fontId="0" fillId="0" borderId="12" xfId="55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84" fontId="1" fillId="0" borderId="0" xfId="5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33" borderId="33" xfId="0" applyNumberFormat="1" applyFill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9" fontId="0" fillId="0" borderId="20" xfId="55" applyFont="1" applyBorder="1" applyAlignment="1">
      <alignment horizontal="center"/>
    </xf>
    <xf numFmtId="9" fontId="0" fillId="0" borderId="21" xfId="55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9" fontId="0" fillId="0" borderId="19" xfId="55" applyFont="1" applyBorder="1" applyAlignment="1">
      <alignment horizontal="center"/>
    </xf>
    <xf numFmtId="194" fontId="0" fillId="0" borderId="0" xfId="0" applyNumberFormat="1" applyAlignment="1">
      <alignment horizontal="left"/>
    </xf>
    <xf numFmtId="196" fontId="0" fillId="0" borderId="0" xfId="0" applyNumberFormat="1" applyAlignment="1">
      <alignment horizontal="left"/>
    </xf>
    <xf numFmtId="19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6" fontId="1" fillId="34" borderId="0" xfId="0" applyNumberFormat="1" applyFont="1" applyFill="1" applyAlignment="1">
      <alignment horizontal="left"/>
    </xf>
    <xf numFmtId="184" fontId="1" fillId="34" borderId="0" xfId="55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8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7" fontId="0" fillId="0" borderId="0" xfId="0" applyNumberFormat="1" applyAlignment="1">
      <alignment horizontal="left"/>
    </xf>
    <xf numFmtId="198" fontId="0" fillId="0" borderId="0" xfId="0" applyNumberFormat="1" applyAlignment="1">
      <alignment horizontal="left"/>
    </xf>
    <xf numFmtId="193" fontId="0" fillId="34" borderId="0" xfId="0" applyNumberFormat="1" applyFill="1" applyAlignment="1">
      <alignment horizontal="left"/>
    </xf>
    <xf numFmtId="2" fontId="0" fillId="35" borderId="0" xfId="0" applyNumberFormat="1" applyFill="1" applyAlignment="1">
      <alignment horizontal="left"/>
    </xf>
    <xf numFmtId="197" fontId="0" fillId="36" borderId="0" xfId="0" applyNumberFormat="1" applyFill="1" applyAlignment="1">
      <alignment horizontal="left"/>
    </xf>
    <xf numFmtId="193" fontId="0" fillId="37" borderId="0" xfId="0" applyNumberFormat="1" applyFill="1" applyAlignment="1">
      <alignment horizontal="left"/>
    </xf>
    <xf numFmtId="197" fontId="0" fillId="38" borderId="0" xfId="0" applyNumberFormat="1" applyFill="1" applyAlignment="1">
      <alignment horizontal="left"/>
    </xf>
    <xf numFmtId="198" fontId="0" fillId="0" borderId="0" xfId="0" applyNumberFormat="1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39" borderId="0" xfId="0" applyNumberFormat="1" applyFill="1" applyAlignment="1">
      <alignment horizontal="left"/>
    </xf>
    <xf numFmtId="0" fontId="2" fillId="0" borderId="0" xfId="0" applyFont="1" applyAlignment="1">
      <alignment/>
    </xf>
    <xf numFmtId="193" fontId="0" fillId="40" borderId="0" xfId="0" applyNumberFormat="1" applyFill="1" applyAlignment="1">
      <alignment horizontal="left"/>
    </xf>
    <xf numFmtId="193" fontId="0" fillId="41" borderId="0" xfId="0" applyNumberFormat="1" applyFill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20" xfId="0" applyNumberFormat="1" applyFill="1" applyBorder="1" applyAlignment="1">
      <alignment/>
    </xf>
    <xf numFmtId="0" fontId="1" fillId="0" borderId="51" xfId="0" applyFont="1" applyBorder="1" applyAlignment="1">
      <alignment horizontal="right"/>
    </xf>
    <xf numFmtId="2" fontId="1" fillId="0" borderId="31" xfId="0" applyNumberFormat="1" applyFont="1" applyBorder="1" applyAlignment="1">
      <alignment horizontal="left"/>
    </xf>
    <xf numFmtId="0" fontId="1" fillId="0" borderId="52" xfId="0" applyFont="1" applyBorder="1" applyAlignment="1">
      <alignment horizontal="right"/>
    </xf>
    <xf numFmtId="186" fontId="1" fillId="0" borderId="35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right"/>
    </xf>
    <xf numFmtId="9" fontId="0" fillId="0" borderId="0" xfId="55" applyFont="1" applyBorder="1" applyAlignment="1">
      <alignment horizontal="center"/>
    </xf>
    <xf numFmtId="191" fontId="0" fillId="0" borderId="0" xfId="0" applyNumberFormat="1" applyAlignment="1">
      <alignment horizontal="center"/>
    </xf>
    <xf numFmtId="185" fontId="0" fillId="0" borderId="53" xfId="55" applyNumberFormat="1" applyFont="1" applyBorder="1" applyAlignment="1">
      <alignment horizontal="center"/>
    </xf>
    <xf numFmtId="185" fontId="0" fillId="0" borderId="12" xfId="55" applyNumberFormat="1" applyFont="1" applyBorder="1" applyAlignment="1">
      <alignment horizontal="center"/>
    </xf>
    <xf numFmtId="185" fontId="0" fillId="0" borderId="22" xfId="55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left"/>
    </xf>
    <xf numFmtId="186" fontId="0" fillId="0" borderId="0" xfId="0" applyNumberFormat="1" applyFill="1" applyAlignment="1">
      <alignment horizontal="center"/>
    </xf>
    <xf numFmtId="186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55" applyFont="1" applyAlignment="1">
      <alignment horizontal="center"/>
    </xf>
    <xf numFmtId="187" fontId="1" fillId="0" borderId="0" xfId="0" applyNumberFormat="1" applyFont="1" applyFill="1" applyAlignment="1">
      <alignment horizontal="left"/>
    </xf>
    <xf numFmtId="0" fontId="1" fillId="0" borderId="54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33" borderId="27" xfId="0" applyNumberFormat="1" applyFill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0" fillId="0" borderId="27" xfId="0" applyNumberFormat="1" applyBorder="1" applyAlignment="1">
      <alignment horizontal="center"/>
    </xf>
    <xf numFmtId="185" fontId="0" fillId="0" borderId="28" xfId="0" applyNumberFormat="1" applyBorder="1" applyAlignment="1">
      <alignment horizontal="center"/>
    </xf>
    <xf numFmtId="185" fontId="0" fillId="33" borderId="26" xfId="0" applyNumberFormat="1" applyFill="1" applyBorder="1" applyAlignment="1">
      <alignment horizontal="center"/>
    </xf>
    <xf numFmtId="185" fontId="0" fillId="33" borderId="27" xfId="0" applyNumberFormat="1" applyFill="1" applyBorder="1" applyAlignment="1">
      <alignment horizontal="center"/>
    </xf>
    <xf numFmtId="185" fontId="0" fillId="33" borderId="28" xfId="0" applyNumberFormat="1" applyFill="1" applyBorder="1" applyAlignment="1">
      <alignment horizontal="center"/>
    </xf>
    <xf numFmtId="185" fontId="0" fillId="0" borderId="26" xfId="0" applyNumberFormat="1" applyFill="1" applyBorder="1" applyAlignment="1">
      <alignment horizontal="center"/>
    </xf>
    <xf numFmtId="185" fontId="0" fillId="0" borderId="27" xfId="0" applyNumberFormat="1" applyFill="1" applyBorder="1" applyAlignment="1">
      <alignment horizontal="center"/>
    </xf>
    <xf numFmtId="185" fontId="0" fillId="0" borderId="28" xfId="0" applyNumberFormat="1" applyFill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33" borderId="26" xfId="0" applyNumberFormat="1" applyFill="1" applyBorder="1" applyAlignment="1">
      <alignment horizontal="center"/>
    </xf>
    <xf numFmtId="4" fontId="0" fillId="33" borderId="27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86" fontId="1" fillId="34" borderId="0" xfId="0" applyNumberFormat="1" applyFont="1" applyFill="1" applyAlignment="1">
      <alignment horizontal="center"/>
    </xf>
    <xf numFmtId="186" fontId="1" fillId="0" borderId="0" xfId="0" applyNumberFormat="1" applyFont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9" fontId="0" fillId="0" borderId="38" xfId="55" applyFont="1" applyBorder="1" applyAlignment="1">
      <alignment horizontal="center"/>
    </xf>
    <xf numFmtId="192" fontId="2" fillId="34" borderId="0" xfId="0" applyNumberFormat="1" applyFont="1" applyFill="1" applyAlignment="1">
      <alignment horizontal="center"/>
    </xf>
    <xf numFmtId="192" fontId="2" fillId="4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/>
    </xf>
    <xf numFmtId="9" fontId="0" fillId="0" borderId="0" xfId="55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186" fontId="1" fillId="42" borderId="0" xfId="0" applyNumberFormat="1" applyFont="1" applyFill="1" applyAlignment="1">
      <alignment horizontal="left"/>
    </xf>
    <xf numFmtId="9" fontId="2" fillId="43" borderId="0" xfId="55" applyNumberFormat="1" applyFont="1" applyFill="1" applyAlignment="1">
      <alignment horizontal="center"/>
    </xf>
    <xf numFmtId="193" fontId="2" fillId="0" borderId="0" xfId="0" applyNumberFormat="1" applyFont="1" applyAlignment="1">
      <alignment horizontal="left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88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188" fontId="0" fillId="0" borderId="40" xfId="0" applyNumberForma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3" fontId="2" fillId="0" borderId="46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193" fontId="0" fillId="0" borderId="56" xfId="0" applyNumberFormat="1" applyBorder="1" applyAlignment="1">
      <alignment horizontal="center"/>
    </xf>
    <xf numFmtId="193" fontId="0" fillId="0" borderId="32" xfId="0" applyNumberFormat="1" applyBorder="1" applyAlignment="1">
      <alignment horizontal="center"/>
    </xf>
    <xf numFmtId="193" fontId="0" fillId="0" borderId="34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86" fontId="2" fillId="0" borderId="57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186" fontId="0" fillId="0" borderId="41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21" xfId="0" applyNumberFormat="1" applyBorder="1" applyAlignment="1">
      <alignment horizontal="center"/>
    </xf>
    <xf numFmtId="186" fontId="2" fillId="0" borderId="4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3" fontId="0" fillId="0" borderId="41" xfId="0" applyNumberForma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0" fontId="0" fillId="0" borderId="15" xfId="0" applyBorder="1" applyAlignment="1">
      <alignment horizontal="center"/>
    </xf>
    <xf numFmtId="192" fontId="0" fillId="0" borderId="3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86" fontId="0" fillId="0" borderId="34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93" fontId="0" fillId="0" borderId="62" xfId="0" applyNumberFormat="1" applyBorder="1" applyAlignment="1">
      <alignment horizontal="center"/>
    </xf>
    <xf numFmtId="193" fontId="0" fillId="0" borderId="11" xfId="0" applyNumberFormat="1" applyBorder="1" applyAlignment="1">
      <alignment horizontal="center"/>
    </xf>
    <xf numFmtId="193" fontId="0" fillId="0" borderId="12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49" xfId="0" applyBorder="1" applyAlignment="1">
      <alignment horizontal="center"/>
    </xf>
    <xf numFmtId="9" fontId="0" fillId="0" borderId="33" xfId="55" applyFont="1" applyBorder="1" applyAlignment="1">
      <alignment horizontal="center"/>
    </xf>
    <xf numFmtId="9" fontId="0" fillId="0" borderId="35" xfId="55" applyFont="1" applyBorder="1" applyAlignment="1">
      <alignment horizontal="center"/>
    </xf>
    <xf numFmtId="3" fontId="0" fillId="39" borderId="20" xfId="0" applyNumberFormat="1" applyFill="1" applyBorder="1" applyAlignment="1">
      <alignment horizontal="center"/>
    </xf>
    <xf numFmtId="3" fontId="0" fillId="39" borderId="21" xfId="0" applyNumberForma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186" fontId="0" fillId="36" borderId="32" xfId="0" applyNumberFormat="1" applyFill="1" applyBorder="1" applyAlignment="1">
      <alignment horizontal="center"/>
    </xf>
    <xf numFmtId="186" fontId="0" fillId="36" borderId="34" xfId="0" applyNumberFormat="1" applyFill="1" applyBorder="1" applyAlignment="1">
      <alignment horizontal="center"/>
    </xf>
    <xf numFmtId="186" fontId="0" fillId="38" borderId="32" xfId="0" applyNumberFormat="1" applyFill="1" applyBorder="1" applyAlignment="1">
      <alignment horizontal="center"/>
    </xf>
    <xf numFmtId="186" fontId="0" fillId="38" borderId="34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center"/>
    </xf>
    <xf numFmtId="186" fontId="0" fillId="0" borderId="34" xfId="0" applyNumberForma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193" fontId="0" fillId="34" borderId="32" xfId="0" applyNumberFormat="1" applyFill="1" applyBorder="1" applyAlignment="1">
      <alignment horizontal="center"/>
    </xf>
    <xf numFmtId="193" fontId="0" fillId="34" borderId="34" xfId="0" applyNumberFormat="1" applyFill="1" applyBorder="1" applyAlignment="1">
      <alignment horizontal="center"/>
    </xf>
    <xf numFmtId="193" fontId="0" fillId="37" borderId="32" xfId="0" applyNumberFormat="1" applyFill="1" applyBorder="1" applyAlignment="1">
      <alignment horizontal="center"/>
    </xf>
    <xf numFmtId="193" fontId="0" fillId="37" borderId="34" xfId="0" applyNumberFormat="1" applyFill="1" applyBorder="1" applyAlignment="1">
      <alignment horizontal="center"/>
    </xf>
    <xf numFmtId="193" fontId="0" fillId="0" borderId="32" xfId="0" applyNumberFormat="1" applyFill="1" applyBorder="1" applyAlignment="1">
      <alignment horizontal="center"/>
    </xf>
    <xf numFmtId="193" fontId="0" fillId="0" borderId="34" xfId="0" applyNumberFormat="1" applyFill="1" applyBorder="1" applyAlignment="1">
      <alignment horizontal="center"/>
    </xf>
    <xf numFmtId="193" fontId="0" fillId="34" borderId="15" xfId="0" applyNumberFormat="1" applyFill="1" applyBorder="1" applyAlignment="1">
      <alignment horizontal="center"/>
    </xf>
    <xf numFmtId="193" fontId="0" fillId="40" borderId="32" xfId="0" applyNumberFormat="1" applyFill="1" applyBorder="1" applyAlignment="1">
      <alignment horizontal="center"/>
    </xf>
    <xf numFmtId="193" fontId="0" fillId="40" borderId="34" xfId="0" applyNumberFormat="1" applyFill="1" applyBorder="1" applyAlignment="1">
      <alignment horizontal="center"/>
    </xf>
    <xf numFmtId="193" fontId="0" fillId="41" borderId="32" xfId="0" applyNumberFormat="1" applyFill="1" applyBorder="1" applyAlignment="1">
      <alignment horizontal="center"/>
    </xf>
    <xf numFmtId="193" fontId="0" fillId="41" borderId="34" xfId="0" applyNumberFormat="1" applyFill="1" applyBorder="1" applyAlignment="1">
      <alignment horizontal="center"/>
    </xf>
    <xf numFmtId="9" fontId="0" fillId="0" borderId="33" xfId="55" applyBorder="1" applyAlignment="1">
      <alignment horizontal="center"/>
    </xf>
    <xf numFmtId="9" fontId="0" fillId="0" borderId="35" xfId="55" applyBorder="1" applyAlignment="1">
      <alignment horizontal="center"/>
    </xf>
    <xf numFmtId="9" fontId="0" fillId="0" borderId="38" xfId="55" applyBorder="1" applyAlignment="1">
      <alignment horizontal="center"/>
    </xf>
    <xf numFmtId="9" fontId="0" fillId="0" borderId="0" xfId="55" applyBorder="1" applyAlignment="1">
      <alignment horizontal="center"/>
    </xf>
    <xf numFmtId="0" fontId="2" fillId="0" borderId="0" xfId="0" applyFont="1" applyFill="1" applyAlignment="1">
      <alignment/>
    </xf>
    <xf numFmtId="192" fontId="2" fillId="0" borderId="0" xfId="0" applyNumberFormat="1" applyFont="1" applyFill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93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6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3" fontId="0" fillId="0" borderId="22" xfId="0" applyNumberFormat="1" applyFill="1" applyBorder="1" applyAlignment="1">
      <alignment horizontal="center"/>
    </xf>
    <xf numFmtId="3" fontId="0" fillId="8" borderId="22" xfId="0" applyNumberFormat="1" applyFill="1" applyBorder="1" applyAlignment="1">
      <alignment horizontal="center"/>
    </xf>
    <xf numFmtId="185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9" fontId="0" fillId="0" borderId="22" xfId="55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/>
    </xf>
    <xf numFmtId="3" fontId="0" fillId="33" borderId="22" xfId="0" applyNumberFormat="1" applyFill="1" applyBorder="1" applyAlignment="1">
      <alignment horizontal="center"/>
    </xf>
    <xf numFmtId="185" fontId="0" fillId="33" borderId="22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9" fontId="0" fillId="33" borderId="22" xfId="55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3" fontId="0" fillId="44" borderId="22" xfId="0" applyNumberFormat="1" applyFill="1" applyBorder="1" applyAlignment="1">
      <alignment horizontal="center"/>
    </xf>
    <xf numFmtId="0" fontId="0" fillId="19" borderId="10" xfId="0" applyFill="1" applyBorder="1" applyAlignment="1">
      <alignment horizontal="left"/>
    </xf>
    <xf numFmtId="3" fontId="0" fillId="19" borderId="13" xfId="0" applyNumberFormat="1" applyFill="1" applyBorder="1" applyAlignment="1">
      <alignment horizontal="center"/>
    </xf>
    <xf numFmtId="9" fontId="0" fillId="19" borderId="19" xfId="0" applyNumberFormat="1" applyFill="1" applyBorder="1" applyAlignment="1">
      <alignment horizontal="center"/>
    </xf>
    <xf numFmtId="3" fontId="0" fillId="19" borderId="22" xfId="0" applyNumberFormat="1" applyFill="1" applyBorder="1" applyAlignment="1">
      <alignment horizontal="center"/>
    </xf>
    <xf numFmtId="185" fontId="0" fillId="19" borderId="22" xfId="0" applyNumberFormat="1" applyFill="1" applyBorder="1" applyAlignment="1">
      <alignment horizontal="center"/>
    </xf>
    <xf numFmtId="4" fontId="0" fillId="19" borderId="22" xfId="0" applyNumberFormat="1" applyFill="1" applyBorder="1" applyAlignment="1">
      <alignment horizontal="center"/>
    </xf>
    <xf numFmtId="0" fontId="0" fillId="19" borderId="22" xfId="0" applyFill="1" applyBorder="1" applyAlignment="1">
      <alignment horizontal="left"/>
    </xf>
    <xf numFmtId="9" fontId="0" fillId="19" borderId="22" xfId="55" applyFont="1" applyFill="1" applyBorder="1" applyAlignment="1">
      <alignment horizontal="center"/>
    </xf>
    <xf numFmtId="0" fontId="0" fillId="19" borderId="31" xfId="0" applyFill="1" applyBorder="1" applyAlignment="1">
      <alignment horizontal="left"/>
    </xf>
    <xf numFmtId="4" fontId="0" fillId="19" borderId="26" xfId="0" applyNumberFormat="1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3" fontId="0" fillId="19" borderId="14" xfId="0" applyNumberFormat="1" applyFill="1" applyBorder="1" applyAlignment="1">
      <alignment horizontal="center"/>
    </xf>
    <xf numFmtId="9" fontId="0" fillId="19" borderId="20" xfId="0" applyNumberFormat="1" applyFill="1" applyBorder="1" applyAlignment="1">
      <alignment horizontal="center"/>
    </xf>
    <xf numFmtId="0" fontId="0" fillId="19" borderId="33" xfId="0" applyFill="1" applyBorder="1" applyAlignment="1">
      <alignment horizontal="left"/>
    </xf>
    <xf numFmtId="4" fontId="0" fillId="19" borderId="27" xfId="0" applyNumberFormat="1" applyFill="1" applyBorder="1" applyAlignment="1">
      <alignment horizontal="center"/>
    </xf>
    <xf numFmtId="0" fontId="0" fillId="19" borderId="12" xfId="0" applyFill="1" applyBorder="1" applyAlignment="1">
      <alignment horizontal="left"/>
    </xf>
    <xf numFmtId="3" fontId="0" fillId="19" borderId="15" xfId="0" applyNumberFormat="1" applyFill="1" applyBorder="1" applyAlignment="1">
      <alignment horizontal="center"/>
    </xf>
    <xf numFmtId="9" fontId="0" fillId="19" borderId="21" xfId="0" applyNumberFormat="1" applyFill="1" applyBorder="1" applyAlignment="1">
      <alignment horizontal="center"/>
    </xf>
    <xf numFmtId="0" fontId="0" fillId="19" borderId="35" xfId="0" applyFill="1" applyBorder="1" applyAlignment="1">
      <alignment horizontal="left"/>
    </xf>
    <xf numFmtId="4" fontId="0" fillId="19" borderId="28" xfId="0" applyNumberFormat="1" applyFill="1" applyBorder="1" applyAlignment="1">
      <alignment horizontal="center"/>
    </xf>
    <xf numFmtId="0" fontId="0" fillId="19" borderId="64" xfId="0" applyFill="1" applyBorder="1" applyAlignment="1">
      <alignment horizontal="center" vertical="center"/>
    </xf>
    <xf numFmtId="0" fontId="0" fillId="19" borderId="64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65" xfId="0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19" borderId="61" xfId="0" applyFill="1" applyBorder="1" applyAlignment="1">
      <alignment horizontal="center" vertical="center"/>
    </xf>
    <xf numFmtId="0" fontId="0" fillId="19" borderId="69" xfId="0" applyFill="1" applyBorder="1" applyAlignment="1">
      <alignment horizontal="center" vertical="center"/>
    </xf>
    <xf numFmtId="0" fontId="0" fillId="19" borderId="55" xfId="0" applyFill="1" applyBorder="1" applyAlignment="1">
      <alignment horizontal="center" vertical="center"/>
    </xf>
    <xf numFmtId="0" fontId="0" fillId="19" borderId="7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19" borderId="65" xfId="0" applyFill="1" applyBorder="1" applyAlignment="1">
      <alignment horizontal="center"/>
    </xf>
    <xf numFmtId="0" fontId="0" fillId="19" borderId="64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66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94" fontId="0" fillId="0" borderId="0" xfId="0" applyNumberFormat="1" applyFill="1" applyAlignment="1">
      <alignment horizontal="left"/>
    </xf>
    <xf numFmtId="195" fontId="0" fillId="0" borderId="0" xfId="0" applyNumberFormat="1" applyFill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95" fontId="0" fillId="0" borderId="0" xfId="0" applyNumberFormat="1" applyAlignment="1">
      <alignment horizontal="left"/>
    </xf>
    <xf numFmtId="195" fontId="0" fillId="34" borderId="0" xfId="0" applyNumberFormat="1" applyFill="1" applyAlignment="1">
      <alignment horizontal="left"/>
    </xf>
    <xf numFmtId="194" fontId="0" fillId="0" borderId="0" xfId="0" applyNumberFormat="1" applyAlignment="1">
      <alignment horizontal="left"/>
    </xf>
    <xf numFmtId="196" fontId="0" fillId="0" borderId="0" xfId="0" applyNumberFormat="1" applyBorder="1" applyAlignment="1">
      <alignment horizontal="left"/>
    </xf>
    <xf numFmtId="193" fontId="2" fillId="0" borderId="0" xfId="0" applyNumberFormat="1" applyFont="1" applyBorder="1" applyAlignment="1">
      <alignment horizontal="left"/>
    </xf>
    <xf numFmtId="195" fontId="0" fillId="40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99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200" fontId="0" fillId="0" borderId="0" xfId="0" applyNumberFormat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184" fontId="0" fillId="0" borderId="43" xfId="55" applyNumberFormat="1" applyFont="1" applyBorder="1" applyAlignment="1">
      <alignment horizontal="center" vertical="center"/>
    </xf>
    <xf numFmtId="184" fontId="0" fillId="0" borderId="71" xfId="55" applyNumberFormat="1" applyFont="1" applyBorder="1" applyAlignment="1">
      <alignment horizontal="center" vertical="center"/>
    </xf>
    <xf numFmtId="184" fontId="0" fillId="0" borderId="46" xfId="55" applyNumberFormat="1" applyFont="1" applyBorder="1" applyAlignment="1">
      <alignment horizontal="center" vertical="center"/>
    </xf>
    <xf numFmtId="184" fontId="0" fillId="33" borderId="43" xfId="55" applyNumberFormat="1" applyFont="1" applyFill="1" applyBorder="1" applyAlignment="1">
      <alignment horizontal="center" vertical="center"/>
    </xf>
    <xf numFmtId="184" fontId="0" fillId="33" borderId="71" xfId="55" applyNumberFormat="1" applyFont="1" applyFill="1" applyBorder="1" applyAlignment="1">
      <alignment horizontal="center" vertical="center"/>
    </xf>
    <xf numFmtId="184" fontId="0" fillId="33" borderId="46" xfId="55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72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33" borderId="42" xfId="0" applyNumberFormat="1" applyFill="1" applyBorder="1" applyAlignment="1">
      <alignment horizontal="center" vertical="center"/>
    </xf>
    <xf numFmtId="3" fontId="0" fillId="33" borderId="72" xfId="0" applyNumberFormat="1" applyFill="1" applyBorder="1" applyAlignment="1">
      <alignment horizontal="center" vertical="center"/>
    </xf>
    <xf numFmtId="3" fontId="0" fillId="33" borderId="4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vertical="center"/>
    </xf>
    <xf numFmtId="3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9" fontId="0" fillId="0" borderId="59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84" fontId="0" fillId="0" borderId="14" xfId="0" applyNumberForma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55" xfId="55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19" borderId="19" xfId="0" applyNumberFormat="1" applyFill="1" applyBorder="1" applyAlignment="1">
      <alignment horizontal="center" vertical="center"/>
    </xf>
    <xf numFmtId="4" fontId="0" fillId="19" borderId="20" xfId="0" applyNumberFormat="1" applyFill="1" applyBorder="1" applyAlignment="1">
      <alignment horizontal="center" vertical="center"/>
    </xf>
    <xf numFmtId="4" fontId="0" fillId="19" borderId="21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19" borderId="10" xfId="0" applyNumberFormat="1" applyFill="1" applyBorder="1" applyAlignment="1">
      <alignment horizontal="center" vertical="center"/>
    </xf>
    <xf numFmtId="4" fontId="0" fillId="19" borderId="11" xfId="0" applyNumberFormat="1" applyFill="1" applyBorder="1" applyAlignment="1">
      <alignment horizontal="center" vertical="center"/>
    </xf>
    <xf numFmtId="4" fontId="0" fillId="19" borderId="12" xfId="0" applyNumberForma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20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 horizontal="center"/>
    </xf>
    <xf numFmtId="187" fontId="1" fillId="0" borderId="0" xfId="0" applyNumberFormat="1" applyFont="1" applyFill="1" applyAlignment="1">
      <alignment horizontal="left"/>
    </xf>
    <xf numFmtId="0" fontId="0" fillId="19" borderId="37" xfId="0" applyFill="1" applyBorder="1" applyAlignment="1">
      <alignment horizontal="center" vertical="center"/>
    </xf>
    <xf numFmtId="0" fontId="0" fillId="19" borderId="64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bmp" /><Relationship Id="rId4" Type="http://schemas.openxmlformats.org/officeDocument/2006/relationships/image" Target="../media/image4.png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png" /><Relationship Id="rId8" Type="http://schemas.openxmlformats.org/officeDocument/2006/relationships/image" Target="../media/image8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bmp" /><Relationship Id="rId4" Type="http://schemas.openxmlformats.org/officeDocument/2006/relationships/image" Target="../media/image4.png" /><Relationship Id="rId5" Type="http://schemas.openxmlformats.org/officeDocument/2006/relationships/image" Target="../media/image5.bmp" /><Relationship Id="rId6" Type="http://schemas.openxmlformats.org/officeDocument/2006/relationships/image" Target="../media/image6.bmp" /><Relationship Id="rId7" Type="http://schemas.openxmlformats.org/officeDocument/2006/relationships/image" Target="../media/image7.png" /><Relationship Id="rId8" Type="http://schemas.openxmlformats.org/officeDocument/2006/relationships/image" Target="../media/image8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9</xdr:row>
      <xdr:rowOff>152400</xdr:rowOff>
    </xdr:from>
    <xdr:to>
      <xdr:col>2</xdr:col>
      <xdr:colOff>1343025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478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13</xdr:row>
      <xdr:rowOff>142875</xdr:rowOff>
    </xdr:from>
    <xdr:to>
      <xdr:col>2</xdr:col>
      <xdr:colOff>1362075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28600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21</xdr:row>
      <xdr:rowOff>152400</xdr:rowOff>
    </xdr:from>
    <xdr:to>
      <xdr:col>2</xdr:col>
      <xdr:colOff>1285875</xdr:colOff>
      <xdr:row>24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29432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25</xdr:row>
      <xdr:rowOff>123825</xdr:rowOff>
    </xdr:from>
    <xdr:to>
      <xdr:col>2</xdr:col>
      <xdr:colOff>1247775</xdr:colOff>
      <xdr:row>28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56235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38</xdr:row>
      <xdr:rowOff>0</xdr:rowOff>
    </xdr:from>
    <xdr:to>
      <xdr:col>2</xdr:col>
      <xdr:colOff>1400175</xdr:colOff>
      <xdr:row>40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42481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49</xdr:row>
      <xdr:rowOff>142875</xdr:rowOff>
    </xdr:from>
    <xdr:to>
      <xdr:col>2</xdr:col>
      <xdr:colOff>1485900</xdr:colOff>
      <xdr:row>52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48768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53</xdr:row>
      <xdr:rowOff>142875</xdr:rowOff>
    </xdr:from>
    <xdr:to>
      <xdr:col>2</xdr:col>
      <xdr:colOff>1400175</xdr:colOff>
      <xdr:row>56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5524500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57</xdr:row>
      <xdr:rowOff>142875</xdr:rowOff>
    </xdr:from>
    <xdr:to>
      <xdr:col>2</xdr:col>
      <xdr:colOff>1343025</xdr:colOff>
      <xdr:row>60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617220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9</xdr:row>
      <xdr:rowOff>152400</xdr:rowOff>
    </xdr:from>
    <xdr:to>
      <xdr:col>2</xdr:col>
      <xdr:colOff>1343025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64782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13</xdr:row>
      <xdr:rowOff>142875</xdr:rowOff>
    </xdr:from>
    <xdr:to>
      <xdr:col>2</xdr:col>
      <xdr:colOff>1362075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228600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152400</xdr:rowOff>
    </xdr:from>
    <xdr:to>
      <xdr:col>2</xdr:col>
      <xdr:colOff>1285875</xdr:colOff>
      <xdr:row>28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590925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29</xdr:row>
      <xdr:rowOff>123825</xdr:rowOff>
    </xdr:from>
    <xdr:to>
      <xdr:col>2</xdr:col>
      <xdr:colOff>1247775</xdr:colOff>
      <xdr:row>32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421005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50</xdr:row>
      <xdr:rowOff>0</xdr:rowOff>
    </xdr:from>
    <xdr:to>
      <xdr:col>2</xdr:col>
      <xdr:colOff>1400175</xdr:colOff>
      <xdr:row>52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61912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69</xdr:row>
      <xdr:rowOff>142875</xdr:rowOff>
    </xdr:from>
    <xdr:to>
      <xdr:col>2</xdr:col>
      <xdr:colOff>1485900</xdr:colOff>
      <xdr:row>72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8115300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73</xdr:row>
      <xdr:rowOff>142875</xdr:rowOff>
    </xdr:from>
    <xdr:to>
      <xdr:col>2</xdr:col>
      <xdr:colOff>1400175</xdr:colOff>
      <xdr:row>76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8763000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77</xdr:row>
      <xdr:rowOff>152400</xdr:rowOff>
    </xdr:from>
    <xdr:to>
      <xdr:col>2</xdr:col>
      <xdr:colOff>1343025</xdr:colOff>
      <xdr:row>80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6825" y="94202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27"/>
  <sheetViews>
    <sheetView showZero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7109375" style="0" customWidth="1"/>
    <col min="3" max="30" width="8.7109375" style="0" customWidth="1"/>
    <col min="31" max="31" width="2.7109375" style="0" customWidth="1"/>
    <col min="32" max="32" width="9.7109375" style="0" customWidth="1"/>
    <col min="33" max="46" width="8.7109375" style="0" customWidth="1"/>
  </cols>
  <sheetData>
    <row r="1" ht="12.75">
      <c r="B1" s="151" t="s">
        <v>149</v>
      </c>
    </row>
    <row r="2" ht="6" customHeight="1"/>
    <row r="3" spans="2:11" ht="12.75">
      <c r="B3" s="198" t="s">
        <v>128</v>
      </c>
      <c r="C3" s="491" t="s">
        <v>109</v>
      </c>
      <c r="D3" s="492"/>
      <c r="E3" s="493"/>
      <c r="F3" s="491" t="s">
        <v>114</v>
      </c>
      <c r="G3" s="492"/>
      <c r="H3" s="493"/>
      <c r="I3" s="491" t="s">
        <v>113</v>
      </c>
      <c r="J3" s="492"/>
      <c r="K3" s="493"/>
    </row>
    <row r="4" spans="2:11" ht="12.75">
      <c r="B4" s="199" t="s">
        <v>115</v>
      </c>
      <c r="C4" s="174" t="s">
        <v>110</v>
      </c>
      <c r="D4" s="175" t="s">
        <v>111</v>
      </c>
      <c r="E4" s="176" t="s">
        <v>112</v>
      </c>
      <c r="F4" s="174" t="s">
        <v>110</v>
      </c>
      <c r="G4" s="175" t="s">
        <v>111</v>
      </c>
      <c r="H4" s="176" t="s">
        <v>112</v>
      </c>
      <c r="I4" s="174" t="s">
        <v>110</v>
      </c>
      <c r="J4" s="175" t="s">
        <v>111</v>
      </c>
      <c r="K4" s="176" t="s">
        <v>112</v>
      </c>
    </row>
    <row r="5" spans="2:11" ht="12.75">
      <c r="B5" s="187">
        <v>2000</v>
      </c>
      <c r="C5" s="190">
        <v>9.031773516165199</v>
      </c>
      <c r="D5" s="191">
        <v>11202.405714854032</v>
      </c>
      <c r="E5" s="200">
        <v>1</v>
      </c>
      <c r="F5" s="190">
        <v>0</v>
      </c>
      <c r="G5" s="191">
        <v>3485.2544200690786</v>
      </c>
      <c r="H5" s="200">
        <v>1</v>
      </c>
      <c r="I5" s="190">
        <v>0</v>
      </c>
      <c r="J5" s="191">
        <v>478.8153870868377</v>
      </c>
      <c r="K5" s="200">
        <v>1</v>
      </c>
    </row>
    <row r="6" spans="2:11" ht="12.75">
      <c r="B6" s="188">
        <v>3000</v>
      </c>
      <c r="C6" s="192">
        <v>321.4313886037372</v>
      </c>
      <c r="D6" s="193">
        <v>11193.373941337868</v>
      </c>
      <c r="E6" s="196">
        <v>0.9991937648264079</v>
      </c>
      <c r="F6" s="192">
        <v>0</v>
      </c>
      <c r="G6" s="193">
        <v>3485.2544200690786</v>
      </c>
      <c r="H6" s="196">
        <v>1</v>
      </c>
      <c r="I6" s="192">
        <v>0</v>
      </c>
      <c r="J6" s="193">
        <v>478.8153870868377</v>
      </c>
      <c r="K6" s="196">
        <v>1</v>
      </c>
    </row>
    <row r="7" spans="2:11" ht="12.75">
      <c r="B7" s="188">
        <v>4000</v>
      </c>
      <c r="C7" s="192">
        <v>1450.743158452993</v>
      </c>
      <c r="D7" s="193">
        <v>10871.94255273413</v>
      </c>
      <c r="E7" s="196">
        <v>0.9705006968564155</v>
      </c>
      <c r="F7" s="192">
        <v>0</v>
      </c>
      <c r="G7" s="193">
        <v>3485.2544200690786</v>
      </c>
      <c r="H7" s="196">
        <v>1</v>
      </c>
      <c r="I7" s="192">
        <v>0</v>
      </c>
      <c r="J7" s="193">
        <v>478.8153870868377</v>
      </c>
      <c r="K7" s="196">
        <v>1</v>
      </c>
    </row>
    <row r="8" spans="2:11" ht="12.75">
      <c r="B8" s="188">
        <v>5000</v>
      </c>
      <c r="C8" s="192">
        <v>1624.1012579513726</v>
      </c>
      <c r="D8" s="193">
        <v>9421.199394281137</v>
      </c>
      <c r="E8" s="196">
        <v>0.8409978743930804</v>
      </c>
      <c r="F8" s="192">
        <v>0</v>
      </c>
      <c r="G8" s="193">
        <v>3485.2544200690786</v>
      </c>
      <c r="H8" s="196">
        <v>1</v>
      </c>
      <c r="I8" s="192">
        <v>0</v>
      </c>
      <c r="J8" s="193">
        <v>478.8153870868377</v>
      </c>
      <c r="K8" s="196">
        <v>1</v>
      </c>
    </row>
    <row r="9" spans="2:11" ht="12.75">
      <c r="B9" s="188">
        <v>6000</v>
      </c>
      <c r="C9" s="192">
        <v>1247.9214315085671</v>
      </c>
      <c r="D9" s="193">
        <v>7797.098136329766</v>
      </c>
      <c r="E9" s="196">
        <v>0.6960199741731423</v>
      </c>
      <c r="F9" s="192">
        <v>132.48063510931638</v>
      </c>
      <c r="G9" s="193">
        <v>3485.2544200690786</v>
      </c>
      <c r="H9" s="196">
        <v>1</v>
      </c>
      <c r="I9" s="192">
        <v>0</v>
      </c>
      <c r="J9" s="193">
        <v>478.8153870868377</v>
      </c>
      <c r="K9" s="196">
        <v>1</v>
      </c>
    </row>
    <row r="10" spans="2:11" ht="12.75">
      <c r="B10" s="188">
        <v>7000</v>
      </c>
      <c r="C10" s="192">
        <v>771.959804907152</v>
      </c>
      <c r="D10" s="193">
        <v>6549.176704821198</v>
      </c>
      <c r="E10" s="196">
        <v>0.5846223455500454</v>
      </c>
      <c r="F10" s="192">
        <v>3.2409023749605077</v>
      </c>
      <c r="G10" s="193">
        <v>3352.7737849597625</v>
      </c>
      <c r="H10" s="196">
        <v>0.9619882455793025</v>
      </c>
      <c r="I10" s="192">
        <v>0</v>
      </c>
      <c r="J10" s="193">
        <v>478.8153870868377</v>
      </c>
      <c r="K10" s="196">
        <v>1</v>
      </c>
    </row>
    <row r="11" spans="2:11" ht="12.75">
      <c r="B11" s="188">
        <v>8000</v>
      </c>
      <c r="C11" s="192">
        <v>2826.056783706929</v>
      </c>
      <c r="D11" s="193">
        <v>5777.216899914046</v>
      </c>
      <c r="E11" s="196">
        <v>0.5157121645981488</v>
      </c>
      <c r="F11" s="192">
        <v>0</v>
      </c>
      <c r="G11" s="193">
        <v>3349.532882584802</v>
      </c>
      <c r="H11" s="196">
        <v>0.9610583558254014</v>
      </c>
      <c r="I11" s="192">
        <v>13.824817030583725</v>
      </c>
      <c r="J11" s="193">
        <v>478.8153870868377</v>
      </c>
      <c r="K11" s="196">
        <v>1</v>
      </c>
    </row>
    <row r="12" spans="2:11" ht="12.75">
      <c r="B12" s="188">
        <v>9000</v>
      </c>
      <c r="C12" s="192">
        <v>1152.2183680315754</v>
      </c>
      <c r="D12" s="193">
        <v>2951.1601162071183</v>
      </c>
      <c r="E12" s="196">
        <v>0.2634398531285092</v>
      </c>
      <c r="F12" s="192">
        <v>0</v>
      </c>
      <c r="G12" s="193">
        <v>3349.532882584802</v>
      </c>
      <c r="H12" s="196">
        <v>0.9610583558254014</v>
      </c>
      <c r="I12" s="192">
        <v>0</v>
      </c>
      <c r="J12" s="193">
        <v>464.99057005625394</v>
      </c>
      <c r="K12" s="196">
        <v>0.9711270410195141</v>
      </c>
    </row>
    <row r="13" spans="2:11" ht="12.75">
      <c r="B13" s="188">
        <v>10000</v>
      </c>
      <c r="C13" s="192">
        <v>40.50155106215105</v>
      </c>
      <c r="D13" s="193">
        <v>1798.941748175543</v>
      </c>
      <c r="E13" s="196">
        <v>0.1605853058678462</v>
      </c>
      <c r="F13" s="192">
        <v>0</v>
      </c>
      <c r="G13" s="193">
        <v>3349.532882584802</v>
      </c>
      <c r="H13" s="196">
        <v>0.9610583558254014</v>
      </c>
      <c r="I13" s="192">
        <v>0</v>
      </c>
      <c r="J13" s="193">
        <v>464.99057005625394</v>
      </c>
      <c r="K13" s="196">
        <v>0.9711270410195141</v>
      </c>
    </row>
    <row r="14" spans="2:11" ht="12.75">
      <c r="B14" s="188">
        <v>11000</v>
      </c>
      <c r="C14" s="192">
        <v>810.2457993812649</v>
      </c>
      <c r="D14" s="193">
        <v>1758.4401971133918</v>
      </c>
      <c r="E14" s="196">
        <v>0.1569698725320898</v>
      </c>
      <c r="F14" s="192">
        <v>541.1405515569005</v>
      </c>
      <c r="G14" s="193">
        <v>3349.532882584802</v>
      </c>
      <c r="H14" s="196">
        <v>0.9610583558254014</v>
      </c>
      <c r="I14" s="192">
        <v>0</v>
      </c>
      <c r="J14" s="193">
        <v>464.99057005625394</v>
      </c>
      <c r="K14" s="196">
        <v>0.9711270410195141</v>
      </c>
    </row>
    <row r="15" spans="2:11" ht="12.75">
      <c r="B15" s="188">
        <v>12000</v>
      </c>
      <c r="C15" s="192">
        <v>40.50155106215105</v>
      </c>
      <c r="D15" s="193">
        <v>948.1943977321271</v>
      </c>
      <c r="E15" s="196">
        <v>0.08464203331565215</v>
      </c>
      <c r="F15" s="192">
        <v>0</v>
      </c>
      <c r="G15" s="193">
        <v>2808.3923310279015</v>
      </c>
      <c r="H15" s="196">
        <v>0.8057926316243618</v>
      </c>
      <c r="I15" s="192">
        <v>0</v>
      </c>
      <c r="J15" s="193">
        <v>464.99057005625394</v>
      </c>
      <c r="K15" s="196">
        <v>0.9711270410195141</v>
      </c>
    </row>
    <row r="16" spans="2:11" ht="12.75">
      <c r="B16" s="188">
        <v>13000</v>
      </c>
      <c r="C16" s="192">
        <v>212.46815272122893</v>
      </c>
      <c r="D16" s="193">
        <v>907.692846669976</v>
      </c>
      <c r="E16" s="196">
        <v>0.08102659997989577</v>
      </c>
      <c r="F16" s="192">
        <v>308.54874270052534</v>
      </c>
      <c r="G16" s="193">
        <v>2808.3923310279015</v>
      </c>
      <c r="H16" s="196">
        <v>0.8057926316243618</v>
      </c>
      <c r="I16" s="192">
        <v>0</v>
      </c>
      <c r="J16" s="193">
        <v>464.99057005625394</v>
      </c>
      <c r="K16" s="196">
        <v>0.9711270410195141</v>
      </c>
    </row>
    <row r="17" spans="2:11" ht="12.75">
      <c r="B17" s="188">
        <v>14000</v>
      </c>
      <c r="C17" s="192">
        <v>695.224693948747</v>
      </c>
      <c r="D17" s="193">
        <v>695.224693948747</v>
      </c>
      <c r="E17" s="196">
        <v>0.062060303085336506</v>
      </c>
      <c r="F17" s="192">
        <v>66.82964207677183</v>
      </c>
      <c r="G17" s="193">
        <v>2499.843588327376</v>
      </c>
      <c r="H17" s="196">
        <v>0.7172628700884994</v>
      </c>
      <c r="I17" s="192">
        <v>235.49860734856415</v>
      </c>
      <c r="J17" s="193">
        <v>464.99057005625394</v>
      </c>
      <c r="K17" s="196">
        <v>0.9711270410195141</v>
      </c>
    </row>
    <row r="18" spans="2:11" ht="12.75">
      <c r="B18" s="188">
        <v>15000</v>
      </c>
      <c r="C18" s="192">
        <v>0</v>
      </c>
      <c r="D18" s="193">
        <v>0</v>
      </c>
      <c r="E18" s="196">
        <v>0</v>
      </c>
      <c r="F18" s="192">
        <v>308.7976918611738</v>
      </c>
      <c r="G18" s="193">
        <v>2433.0139462506045</v>
      </c>
      <c r="H18" s="196">
        <v>0.6980879020597818</v>
      </c>
      <c r="I18" s="192">
        <v>0</v>
      </c>
      <c r="J18" s="193">
        <v>229.49196270768982</v>
      </c>
      <c r="K18" s="196">
        <v>0.4792911190760653</v>
      </c>
    </row>
    <row r="19" spans="2:11" ht="12.75">
      <c r="B19" s="188">
        <v>16000</v>
      </c>
      <c r="C19" s="192">
        <v>0</v>
      </c>
      <c r="D19" s="193">
        <v>0</v>
      </c>
      <c r="E19" s="196">
        <v>0</v>
      </c>
      <c r="F19" s="192">
        <v>0</v>
      </c>
      <c r="G19" s="193">
        <v>2124.2162543894306</v>
      </c>
      <c r="H19" s="196">
        <v>0.6094867112591821</v>
      </c>
      <c r="I19" s="192">
        <v>0</v>
      </c>
      <c r="J19" s="193">
        <v>229.49196270768982</v>
      </c>
      <c r="K19" s="196">
        <v>0.4792911190760653</v>
      </c>
    </row>
    <row r="20" spans="2:11" ht="12.75">
      <c r="B20" s="188">
        <v>17000</v>
      </c>
      <c r="C20" s="192">
        <v>0</v>
      </c>
      <c r="D20" s="193">
        <v>0</v>
      </c>
      <c r="E20" s="196">
        <v>0</v>
      </c>
      <c r="F20" s="192">
        <v>0</v>
      </c>
      <c r="G20" s="193">
        <v>2124.2162543894306</v>
      </c>
      <c r="H20" s="196">
        <v>0.6094867112591821</v>
      </c>
      <c r="I20" s="192">
        <v>0</v>
      </c>
      <c r="J20" s="193">
        <v>229.49196270768982</v>
      </c>
      <c r="K20" s="196">
        <v>0.4792911190760653</v>
      </c>
    </row>
    <row r="21" spans="2:11" ht="12.75">
      <c r="B21" s="188">
        <v>18000</v>
      </c>
      <c r="C21" s="192">
        <v>0</v>
      </c>
      <c r="D21" s="193">
        <v>0</v>
      </c>
      <c r="E21" s="196">
        <v>0</v>
      </c>
      <c r="F21" s="192">
        <v>866.2773666133229</v>
      </c>
      <c r="G21" s="193">
        <v>2124.2162543894306</v>
      </c>
      <c r="H21" s="196">
        <v>0.6094867112591821</v>
      </c>
      <c r="I21" s="192">
        <v>0</v>
      </c>
      <c r="J21" s="193">
        <v>229.49196270768982</v>
      </c>
      <c r="K21" s="196">
        <v>0.4792911190760653</v>
      </c>
    </row>
    <row r="22" spans="2:11" ht="12.75">
      <c r="B22" s="188">
        <v>19000</v>
      </c>
      <c r="C22" s="192">
        <v>0</v>
      </c>
      <c r="D22" s="193">
        <v>0</v>
      </c>
      <c r="E22" s="196">
        <v>0</v>
      </c>
      <c r="F22" s="192">
        <v>379.3345005389016</v>
      </c>
      <c r="G22" s="193">
        <v>1257.938887776108</v>
      </c>
      <c r="H22" s="196">
        <v>0.3609317243907764</v>
      </c>
      <c r="I22" s="192">
        <v>0</v>
      </c>
      <c r="J22" s="193">
        <v>229.49196270768982</v>
      </c>
      <c r="K22" s="196">
        <v>0.4792911190760653</v>
      </c>
    </row>
    <row r="23" spans="2:11" ht="12.75">
      <c r="B23" s="188">
        <v>20000</v>
      </c>
      <c r="C23" s="192">
        <v>0</v>
      </c>
      <c r="D23" s="193">
        <v>0</v>
      </c>
      <c r="E23" s="196">
        <v>0</v>
      </c>
      <c r="F23" s="192">
        <v>228.70184993493842</v>
      </c>
      <c r="G23" s="193">
        <v>878.6043872372065</v>
      </c>
      <c r="H23" s="196">
        <v>0.25209189383075004</v>
      </c>
      <c r="I23" s="192">
        <v>0</v>
      </c>
      <c r="J23" s="193">
        <v>229.49196270768982</v>
      </c>
      <c r="K23" s="196">
        <v>0.4792911190760653</v>
      </c>
    </row>
    <row r="24" spans="2:11" ht="12.75">
      <c r="B24" s="188">
        <v>21000</v>
      </c>
      <c r="C24" s="192">
        <v>0</v>
      </c>
      <c r="D24" s="193">
        <v>0</v>
      </c>
      <c r="E24" s="196">
        <v>0</v>
      </c>
      <c r="F24" s="192">
        <v>0</v>
      </c>
      <c r="G24" s="193">
        <v>649.902537302268</v>
      </c>
      <c r="H24" s="196">
        <v>0.18647205023539912</v>
      </c>
      <c r="I24" s="192">
        <v>0</v>
      </c>
      <c r="J24" s="193">
        <v>229.49196270768982</v>
      </c>
      <c r="K24" s="196">
        <v>0.4792911190760653</v>
      </c>
    </row>
    <row r="25" spans="2:11" ht="12.75">
      <c r="B25" s="188">
        <v>22000</v>
      </c>
      <c r="C25" s="192">
        <v>0</v>
      </c>
      <c r="D25" s="193">
        <v>0</v>
      </c>
      <c r="E25" s="196">
        <v>0</v>
      </c>
      <c r="F25" s="192">
        <v>0</v>
      </c>
      <c r="G25" s="193">
        <v>649.902537302268</v>
      </c>
      <c r="H25" s="196">
        <v>0.18647205023539912</v>
      </c>
      <c r="I25" s="192">
        <v>0</v>
      </c>
      <c r="J25" s="193">
        <v>229.49196270768982</v>
      </c>
      <c r="K25" s="196">
        <v>0.4792911190760653</v>
      </c>
    </row>
    <row r="26" spans="2:11" ht="12.75">
      <c r="B26" s="188">
        <v>23000</v>
      </c>
      <c r="C26" s="192">
        <v>0</v>
      </c>
      <c r="D26" s="193">
        <v>0</v>
      </c>
      <c r="E26" s="196">
        <v>0</v>
      </c>
      <c r="F26" s="192">
        <v>152.88118789468874</v>
      </c>
      <c r="G26" s="193">
        <v>649.902537302268</v>
      </c>
      <c r="H26" s="196">
        <v>0.18647205023539912</v>
      </c>
      <c r="I26" s="192">
        <v>0</v>
      </c>
      <c r="J26" s="193">
        <v>229.49196270768982</v>
      </c>
      <c r="K26" s="196">
        <v>0.4792911190760653</v>
      </c>
    </row>
    <row r="27" spans="2:11" ht="12.75">
      <c r="B27" s="188">
        <v>24000</v>
      </c>
      <c r="C27" s="192">
        <v>0</v>
      </c>
      <c r="D27" s="193">
        <v>0</v>
      </c>
      <c r="E27" s="196">
        <v>0</v>
      </c>
      <c r="F27" s="192">
        <v>344.14016151289053</v>
      </c>
      <c r="G27" s="193">
        <v>497.02134940757924</v>
      </c>
      <c r="H27" s="196">
        <v>0.14260690598241266</v>
      </c>
      <c r="I27" s="192">
        <v>81.42340513185171</v>
      </c>
      <c r="J27" s="193">
        <v>229.49196270768982</v>
      </c>
      <c r="K27" s="196">
        <v>0.4792911190760653</v>
      </c>
    </row>
    <row r="28" spans="2:11" ht="12.75">
      <c r="B28" s="188">
        <v>25000</v>
      </c>
      <c r="C28" s="192">
        <v>0</v>
      </c>
      <c r="D28" s="193">
        <v>0</v>
      </c>
      <c r="E28" s="196">
        <v>0</v>
      </c>
      <c r="F28" s="192">
        <v>152.88118789468874</v>
      </c>
      <c r="G28" s="193">
        <v>152.88118789468874</v>
      </c>
      <c r="H28" s="196">
        <v>0.04386514425298644</v>
      </c>
      <c r="I28" s="192">
        <v>0</v>
      </c>
      <c r="J28" s="193">
        <v>148.0685575758381</v>
      </c>
      <c r="K28" s="196">
        <v>0.3092393468737555</v>
      </c>
    </row>
    <row r="29" spans="2:11" ht="12.75">
      <c r="B29" s="188">
        <v>26000</v>
      </c>
      <c r="C29" s="192">
        <v>0</v>
      </c>
      <c r="D29" s="193">
        <v>0</v>
      </c>
      <c r="E29" s="196">
        <v>0</v>
      </c>
      <c r="F29" s="192">
        <v>0</v>
      </c>
      <c r="G29" s="193">
        <v>0</v>
      </c>
      <c r="H29" s="196">
        <v>0</v>
      </c>
      <c r="I29" s="192">
        <v>0</v>
      </c>
      <c r="J29" s="193">
        <v>148.0685575758381</v>
      </c>
      <c r="K29" s="196">
        <v>0.3092393468737555</v>
      </c>
    </row>
    <row r="30" spans="2:11" ht="12.75">
      <c r="B30" s="188">
        <v>27000</v>
      </c>
      <c r="C30" s="192">
        <v>0</v>
      </c>
      <c r="D30" s="193">
        <v>0</v>
      </c>
      <c r="E30" s="196">
        <v>0</v>
      </c>
      <c r="F30" s="192">
        <v>0</v>
      </c>
      <c r="G30" s="193">
        <v>0</v>
      </c>
      <c r="H30" s="196">
        <v>0</v>
      </c>
      <c r="I30" s="192">
        <v>0</v>
      </c>
      <c r="J30" s="193">
        <v>148.0685575758381</v>
      </c>
      <c r="K30" s="196">
        <v>0.3092393468737555</v>
      </c>
    </row>
    <row r="31" spans="2:11" ht="12.75">
      <c r="B31" s="188">
        <v>28000</v>
      </c>
      <c r="C31" s="192">
        <v>0</v>
      </c>
      <c r="D31" s="193">
        <v>0</v>
      </c>
      <c r="E31" s="196">
        <v>0</v>
      </c>
      <c r="F31" s="192">
        <v>0</v>
      </c>
      <c r="G31" s="193">
        <v>0</v>
      </c>
      <c r="H31" s="196">
        <v>0</v>
      </c>
      <c r="I31" s="192">
        <v>0</v>
      </c>
      <c r="J31" s="193">
        <v>148.0685575758381</v>
      </c>
      <c r="K31" s="196">
        <v>0.3092393468737555</v>
      </c>
    </row>
    <row r="32" spans="2:11" ht="12.75">
      <c r="B32" s="188">
        <v>29000</v>
      </c>
      <c r="C32" s="192">
        <v>0</v>
      </c>
      <c r="D32" s="193">
        <v>0</v>
      </c>
      <c r="E32" s="196">
        <v>0</v>
      </c>
      <c r="F32" s="192">
        <v>0</v>
      </c>
      <c r="G32" s="193">
        <v>0</v>
      </c>
      <c r="H32" s="196">
        <v>0</v>
      </c>
      <c r="I32" s="192">
        <v>0</v>
      </c>
      <c r="J32" s="193">
        <v>148.0685575758381</v>
      </c>
      <c r="K32" s="196">
        <v>0.3092393468737555</v>
      </c>
    </row>
    <row r="33" spans="2:11" ht="12.75">
      <c r="B33" s="188">
        <v>30000</v>
      </c>
      <c r="C33" s="192">
        <v>0</v>
      </c>
      <c r="D33" s="193">
        <v>0</v>
      </c>
      <c r="E33" s="196">
        <v>0</v>
      </c>
      <c r="F33" s="192">
        <v>0</v>
      </c>
      <c r="G33" s="193">
        <v>0</v>
      </c>
      <c r="H33" s="196">
        <v>0</v>
      </c>
      <c r="I33" s="192">
        <v>0</v>
      </c>
      <c r="J33" s="193">
        <v>148.0685575758381</v>
      </c>
      <c r="K33" s="196">
        <v>0.3092393468737555</v>
      </c>
    </row>
    <row r="34" spans="2:11" ht="12.75">
      <c r="B34" s="188">
        <v>31000</v>
      </c>
      <c r="C34" s="192">
        <v>0</v>
      </c>
      <c r="D34" s="193">
        <v>0</v>
      </c>
      <c r="E34" s="196">
        <v>0</v>
      </c>
      <c r="F34" s="192">
        <v>0</v>
      </c>
      <c r="G34" s="193">
        <v>0</v>
      </c>
      <c r="H34" s="196">
        <v>0</v>
      </c>
      <c r="I34" s="192">
        <v>0</v>
      </c>
      <c r="J34" s="193">
        <v>148.0685575758381</v>
      </c>
      <c r="K34" s="196">
        <v>0.3092393468737555</v>
      </c>
    </row>
    <row r="35" spans="2:11" ht="12.75">
      <c r="B35" s="188">
        <v>32000</v>
      </c>
      <c r="C35" s="192">
        <v>0</v>
      </c>
      <c r="D35" s="193">
        <v>0</v>
      </c>
      <c r="E35" s="196">
        <v>0</v>
      </c>
      <c r="F35" s="192">
        <v>0</v>
      </c>
      <c r="G35" s="193">
        <v>0</v>
      </c>
      <c r="H35" s="196">
        <v>0</v>
      </c>
      <c r="I35" s="192">
        <v>148.0685575758381</v>
      </c>
      <c r="J35" s="193">
        <v>148.0685575758381</v>
      </c>
      <c r="K35" s="196">
        <v>0.3092393468737555</v>
      </c>
    </row>
    <row r="36" spans="2:11" ht="12.75">
      <c r="B36" s="188">
        <v>33000</v>
      </c>
      <c r="C36" s="192">
        <v>0</v>
      </c>
      <c r="D36" s="193">
        <v>0</v>
      </c>
      <c r="E36" s="196">
        <v>0</v>
      </c>
      <c r="F36" s="192">
        <v>0</v>
      </c>
      <c r="G36" s="193">
        <v>0</v>
      </c>
      <c r="H36" s="196">
        <v>0</v>
      </c>
      <c r="I36" s="192">
        <v>0</v>
      </c>
      <c r="J36" s="193">
        <v>0</v>
      </c>
      <c r="K36" s="196">
        <v>0</v>
      </c>
    </row>
    <row r="37" spans="2:11" ht="12.75">
      <c r="B37" s="188">
        <v>34000</v>
      </c>
      <c r="C37" s="192">
        <v>0</v>
      </c>
      <c r="D37" s="193">
        <v>0</v>
      </c>
      <c r="E37" s="196">
        <v>0</v>
      </c>
      <c r="F37" s="192">
        <v>0</v>
      </c>
      <c r="G37" s="193">
        <v>0</v>
      </c>
      <c r="H37" s="196">
        <v>0</v>
      </c>
      <c r="I37" s="192">
        <v>0</v>
      </c>
      <c r="J37" s="193">
        <v>0</v>
      </c>
      <c r="K37" s="196">
        <v>0</v>
      </c>
    </row>
    <row r="38" spans="2:11" ht="12.75">
      <c r="B38" s="189">
        <v>35000</v>
      </c>
      <c r="C38" s="194">
        <v>0</v>
      </c>
      <c r="D38" s="195">
        <v>0</v>
      </c>
      <c r="E38" s="197">
        <v>0</v>
      </c>
      <c r="F38" s="194">
        <v>0</v>
      </c>
      <c r="G38" s="195">
        <v>0</v>
      </c>
      <c r="H38" s="197">
        <v>0</v>
      </c>
      <c r="I38" s="194">
        <v>0</v>
      </c>
      <c r="J38" s="195">
        <v>0</v>
      </c>
      <c r="K38" s="197">
        <v>0</v>
      </c>
    </row>
    <row r="39" spans="2:11" ht="12.75">
      <c r="B39" s="287"/>
      <c r="C39" s="287"/>
      <c r="D39" s="287"/>
      <c r="E39" s="301"/>
      <c r="F39" s="287"/>
      <c r="G39" s="287"/>
      <c r="H39" s="301"/>
      <c r="I39" s="287"/>
      <c r="J39" s="287"/>
      <c r="K39" s="301"/>
    </row>
    <row r="40" spans="2:11" ht="12.75">
      <c r="B40" s="233" t="s">
        <v>116</v>
      </c>
      <c r="H40" s="301"/>
      <c r="I40" s="287"/>
      <c r="J40" s="287"/>
      <c r="K40" s="301"/>
    </row>
    <row r="41" ht="6" customHeight="1"/>
    <row r="42" spans="2:11" ht="12.75">
      <c r="B42" t="s">
        <v>74</v>
      </c>
      <c r="D42" s="154" t="s">
        <v>117</v>
      </c>
      <c r="E42" s="158" t="s">
        <v>119</v>
      </c>
      <c r="F42" s="490">
        <v>2.8</v>
      </c>
      <c r="G42" s="490"/>
      <c r="H42" s="301"/>
      <c r="I42" s="287"/>
      <c r="J42" s="287"/>
      <c r="K42" s="301"/>
    </row>
    <row r="43" spans="2:11" ht="12.75">
      <c r="B43" s="395" t="s">
        <v>118</v>
      </c>
      <c r="C43" s="395"/>
      <c r="D43" s="396">
        <v>10</v>
      </c>
      <c r="E43" s="158" t="s">
        <v>119</v>
      </c>
      <c r="F43" s="490">
        <v>8.4</v>
      </c>
      <c r="G43" s="490"/>
      <c r="H43" s="301"/>
      <c r="I43" s="287"/>
      <c r="J43" s="287"/>
      <c r="K43" s="301"/>
    </row>
    <row r="44" spans="2:11" ht="12.75">
      <c r="B44" t="s">
        <v>142</v>
      </c>
      <c r="E44" s="148" t="s">
        <v>144</v>
      </c>
      <c r="F44" s="489">
        <v>45</v>
      </c>
      <c r="G44" s="489"/>
      <c r="H44" s="301"/>
      <c r="I44" s="287"/>
      <c r="J44" s="287"/>
      <c r="K44" s="301"/>
    </row>
    <row r="45" spans="2:11" ht="12.75">
      <c r="B45" t="s">
        <v>143</v>
      </c>
      <c r="E45" s="148" t="s">
        <v>145</v>
      </c>
      <c r="F45" s="489">
        <v>22.5</v>
      </c>
      <c r="G45" s="489"/>
      <c r="H45" s="301"/>
      <c r="I45" s="287"/>
      <c r="J45" s="287"/>
      <c r="K45" s="301"/>
    </row>
    <row r="47" spans="2:9" ht="12.75">
      <c r="B47" s="233" t="s">
        <v>158</v>
      </c>
      <c r="H47" s="308" t="s">
        <v>147</v>
      </c>
      <c r="I47" s="306">
        <v>20</v>
      </c>
    </row>
    <row r="48" ht="6" customHeight="1"/>
    <row r="49" spans="2:9" ht="12.75">
      <c r="B49" s="225" t="s">
        <v>128</v>
      </c>
      <c r="C49" s="227" t="s">
        <v>148</v>
      </c>
      <c r="D49" s="367" t="s">
        <v>150</v>
      </c>
      <c r="E49" s="227" t="s">
        <v>151</v>
      </c>
      <c r="F49" s="367" t="s">
        <v>152</v>
      </c>
      <c r="G49" s="226" t="s">
        <v>151</v>
      </c>
      <c r="H49" s="227" t="s">
        <v>148</v>
      </c>
      <c r="I49" s="307" t="s">
        <v>157</v>
      </c>
    </row>
    <row r="50" spans="2:9" ht="12.75">
      <c r="B50" s="228" t="s">
        <v>154</v>
      </c>
      <c r="C50" s="230" t="s">
        <v>155</v>
      </c>
      <c r="D50" s="368" t="s">
        <v>129</v>
      </c>
      <c r="E50" s="376" t="s">
        <v>136</v>
      </c>
      <c r="F50" s="368" t="s">
        <v>137</v>
      </c>
      <c r="G50" s="229" t="s">
        <v>141</v>
      </c>
      <c r="H50" s="230" t="s">
        <v>155</v>
      </c>
      <c r="I50" s="362" t="s">
        <v>153</v>
      </c>
    </row>
    <row r="51" spans="2:9" ht="12.75">
      <c r="B51" s="222" t="s">
        <v>126</v>
      </c>
      <c r="C51" s="224"/>
      <c r="D51" s="369"/>
      <c r="E51" s="377"/>
      <c r="F51" s="369"/>
      <c r="G51" s="223"/>
      <c r="H51" s="224"/>
      <c r="I51" s="343"/>
    </row>
    <row r="52" spans="2:10" ht="12.75">
      <c r="B52" s="165">
        <v>12000</v>
      </c>
      <c r="C52" s="166">
        <v>40.50155106215105</v>
      </c>
      <c r="D52" s="384">
        <v>16.268442358760137</v>
      </c>
      <c r="E52" s="378">
        <v>1.2293739965357233</v>
      </c>
      <c r="F52" s="374">
        <v>18.836433424952894</v>
      </c>
      <c r="G52" s="292">
        <v>0.4185874094433976</v>
      </c>
      <c r="H52" s="32" t="s">
        <v>201</v>
      </c>
      <c r="I52" s="391">
        <v>0</v>
      </c>
      <c r="J52" s="213"/>
    </row>
    <row r="53" spans="2:10" ht="12.75">
      <c r="B53" s="165">
        <v>13000</v>
      </c>
      <c r="C53" s="166">
        <v>212.46815272122893</v>
      </c>
      <c r="D53" s="384">
        <v>17.0052209698244</v>
      </c>
      <c r="E53" s="378">
        <v>1.1761093863755023</v>
      </c>
      <c r="F53" s="374">
        <v>20.019552602652404</v>
      </c>
      <c r="G53" s="292">
        <v>0.44487894672560896</v>
      </c>
      <c r="H53" s="32" t="s">
        <v>201</v>
      </c>
      <c r="I53" s="391">
        <v>0</v>
      </c>
      <c r="J53" s="213"/>
    </row>
    <row r="54" spans="2:10" ht="12.75">
      <c r="B54" s="165">
        <v>14000</v>
      </c>
      <c r="C54" s="166">
        <v>695.224693948747</v>
      </c>
      <c r="D54" s="384">
        <v>17.717087003266567</v>
      </c>
      <c r="E54" s="378">
        <v>1.1288537442025612</v>
      </c>
      <c r="F54" s="374">
        <v>21.181100127090122</v>
      </c>
      <c r="G54" s="292">
        <v>0.470691113935336</v>
      </c>
      <c r="H54" s="32" t="s">
        <v>201</v>
      </c>
      <c r="I54" s="391">
        <v>0</v>
      </c>
      <c r="J54" s="213"/>
    </row>
    <row r="55" spans="2:10" ht="12.75">
      <c r="B55" s="165">
        <v>15000</v>
      </c>
      <c r="C55" s="166">
        <v>0</v>
      </c>
      <c r="D55" s="384">
        <v>18.406578476660663</v>
      </c>
      <c r="E55" s="378">
        <v>1.0865680455148021</v>
      </c>
      <c r="F55" s="374">
        <v>22.32297213836644</v>
      </c>
      <c r="G55" s="292">
        <v>0.4960660475192542</v>
      </c>
      <c r="H55" s="32" t="s">
        <v>201</v>
      </c>
      <c r="I55" s="391">
        <v>0</v>
      </c>
      <c r="J55" s="213"/>
    </row>
    <row r="56" spans="2:10" ht="12.75">
      <c r="B56" s="168">
        <v>16000</v>
      </c>
      <c r="C56" s="169">
        <v>0</v>
      </c>
      <c r="D56" s="385">
        <v>19.07582464714007</v>
      </c>
      <c r="E56" s="379">
        <v>1.0484474653104177</v>
      </c>
      <c r="F56" s="375">
        <v>23.44678335347784</v>
      </c>
      <c r="G56" s="293">
        <v>0.5210396300772854</v>
      </c>
      <c r="H56" s="38">
        <v>305.866</v>
      </c>
      <c r="I56" s="392">
        <v>0</v>
      </c>
      <c r="J56" s="213"/>
    </row>
    <row r="57" spans="2:10" ht="12.75">
      <c r="B57" s="222" t="s">
        <v>138</v>
      </c>
      <c r="C57" s="224"/>
      <c r="D57" s="397"/>
      <c r="E57" s="398"/>
      <c r="F57" s="397"/>
      <c r="G57" s="399"/>
      <c r="H57" s="400"/>
      <c r="I57" s="343"/>
      <c r="J57" s="219"/>
    </row>
    <row r="58" spans="2:10" ht="12.75">
      <c r="B58" s="165">
        <v>15000</v>
      </c>
      <c r="C58" s="166">
        <v>308.7976918611738</v>
      </c>
      <c r="D58" s="384">
        <v>13.387025952948258</v>
      </c>
      <c r="E58" s="378">
        <v>1.493983807179768</v>
      </c>
      <c r="F58" s="374">
        <v>14.201539426058993</v>
      </c>
      <c r="G58" s="292">
        <v>0.3155897650235332</v>
      </c>
      <c r="H58" s="32" t="s">
        <v>201</v>
      </c>
      <c r="I58" s="391">
        <v>0</v>
      </c>
      <c r="J58" s="213"/>
    </row>
    <row r="59" spans="2:11" ht="12.75">
      <c r="B59" s="165">
        <v>16000</v>
      </c>
      <c r="C59" s="166">
        <v>0</v>
      </c>
      <c r="D59" s="384">
        <v>13.927404766556105</v>
      </c>
      <c r="E59" s="378">
        <v>1.4360177172437771</v>
      </c>
      <c r="F59" s="374">
        <v>15.01837033359907</v>
      </c>
      <c r="G59" s="292">
        <v>0.3337415629688682</v>
      </c>
      <c r="H59" s="32" t="s">
        <v>201</v>
      </c>
      <c r="I59" s="391">
        <v>0</v>
      </c>
      <c r="J59" s="213"/>
      <c r="K59" s="152"/>
    </row>
    <row r="60" spans="2:11" ht="12.75">
      <c r="B60" s="165">
        <v>17000</v>
      </c>
      <c r="C60" s="166">
        <v>0</v>
      </c>
      <c r="D60" s="384">
        <v>14.454865319565203</v>
      </c>
      <c r="E60" s="378">
        <v>1.3836171806408497</v>
      </c>
      <c r="F60" s="374">
        <v>15.828410358140204</v>
      </c>
      <c r="G60" s="292">
        <v>0.35174245240311564</v>
      </c>
      <c r="H60" s="32" t="s">
        <v>201</v>
      </c>
      <c r="I60" s="391">
        <v>0</v>
      </c>
      <c r="J60" s="213"/>
      <c r="K60" s="152"/>
    </row>
    <row r="61" spans="2:11" ht="12.75">
      <c r="B61" s="165">
        <v>18000</v>
      </c>
      <c r="C61" s="166">
        <v>866.2773666133229</v>
      </c>
      <c r="D61" s="384">
        <v>14.970450795434868</v>
      </c>
      <c r="E61" s="378">
        <v>1.3359651137625634</v>
      </c>
      <c r="F61" s="374">
        <v>16.632111047290923</v>
      </c>
      <c r="G61" s="292">
        <v>0.3696024677175761</v>
      </c>
      <c r="H61" s="32" t="s">
        <v>201</v>
      </c>
      <c r="I61" s="391">
        <v>0</v>
      </c>
      <c r="J61" s="213"/>
      <c r="K61" s="152"/>
    </row>
    <row r="62" spans="2:11" ht="12.75">
      <c r="B62" s="165">
        <v>19000</v>
      </c>
      <c r="C62" s="166">
        <v>379.3345005389016</v>
      </c>
      <c r="D62" s="384">
        <v>15.475067317279505</v>
      </c>
      <c r="E62" s="378">
        <v>1.2924014862066509</v>
      </c>
      <c r="F62" s="374">
        <v>17.42987054082647</v>
      </c>
      <c r="G62" s="292">
        <v>0.38733045646281045</v>
      </c>
      <c r="H62" s="32" t="s">
        <v>201</v>
      </c>
      <c r="I62" s="391">
        <v>0</v>
      </c>
      <c r="J62" s="213"/>
      <c r="K62" s="152"/>
    </row>
    <row r="63" spans="2:11" ht="12.75">
      <c r="B63" s="165">
        <v>20000</v>
      </c>
      <c r="C63" s="166">
        <v>228.70184993493842</v>
      </c>
      <c r="D63" s="384">
        <v>15.969508176089414</v>
      </c>
      <c r="E63" s="378">
        <v>1.252386722212604</v>
      </c>
      <c r="F63" s="374">
        <v>18.22204236491929</v>
      </c>
      <c r="G63" s="292">
        <v>0.4049342747759842</v>
      </c>
      <c r="H63" s="32" t="s">
        <v>201</v>
      </c>
      <c r="I63" s="391">
        <v>0</v>
      </c>
      <c r="J63" s="213"/>
      <c r="K63" s="152"/>
    </row>
    <row r="64" spans="2:11" ht="12.75">
      <c r="B64" s="165">
        <v>21000</v>
      </c>
      <c r="C64" s="166">
        <v>0</v>
      </c>
      <c r="D64" s="384">
        <v>16.454472785000622</v>
      </c>
      <c r="E64" s="378">
        <v>1.2154749812604977</v>
      </c>
      <c r="F64" s="374">
        <v>19.008942410831605</v>
      </c>
      <c r="G64" s="292">
        <v>0.42242094246292455</v>
      </c>
      <c r="H64" s="32" t="s">
        <v>201</v>
      </c>
      <c r="I64" s="391">
        <v>0</v>
      </c>
      <c r="J64" s="213"/>
      <c r="K64" s="152"/>
    </row>
    <row r="65" spans="2:11" ht="12.75">
      <c r="B65" s="165">
        <v>22000</v>
      </c>
      <c r="C65" s="166">
        <v>0</v>
      </c>
      <c r="D65" s="384">
        <v>16.930581703091896</v>
      </c>
      <c r="E65" s="378">
        <v>1.1812943199906452</v>
      </c>
      <c r="F65" s="374">
        <v>19.790854541571626</v>
      </c>
      <c r="G65" s="292">
        <v>0.4397967675904806</v>
      </c>
      <c r="H65" s="32" t="s">
        <v>201</v>
      </c>
      <c r="I65" s="391">
        <v>0</v>
      </c>
      <c r="J65" s="213"/>
      <c r="K65" s="152"/>
    </row>
    <row r="66" spans="2:11" ht="12.75">
      <c r="B66" s="165">
        <v>23000</v>
      </c>
      <c r="C66" s="166">
        <v>152.88118789468874</v>
      </c>
      <c r="D66" s="384">
        <v>17.39838868463557</v>
      </c>
      <c r="E66" s="378">
        <v>1.1495317389743052</v>
      </c>
      <c r="F66" s="374">
        <v>20.568035146411123</v>
      </c>
      <c r="G66" s="292">
        <v>0.457067447698025</v>
      </c>
      <c r="H66" s="32" t="s">
        <v>201</v>
      </c>
      <c r="I66" s="391">
        <v>0</v>
      </c>
      <c r="J66" s="213"/>
      <c r="K66" s="152"/>
    </row>
    <row r="67" spans="2:11" ht="12.75">
      <c r="B67" s="165">
        <v>24000</v>
      </c>
      <c r="C67" s="166">
        <v>344.14016151289053</v>
      </c>
      <c r="D67" s="384">
        <v>17.858390445922026</v>
      </c>
      <c r="E67" s="378">
        <v>1.1199217566982365</v>
      </c>
      <c r="F67" s="374">
        <v>21.34071687789422</v>
      </c>
      <c r="G67" s="292">
        <v>0.47423815284209375</v>
      </c>
      <c r="H67" s="32" t="s">
        <v>201</v>
      </c>
      <c r="I67" s="391">
        <v>0</v>
      </c>
      <c r="J67" s="213"/>
      <c r="K67" s="152"/>
    </row>
    <row r="68" spans="2:11" ht="12.75">
      <c r="B68" s="165">
        <v>25000</v>
      </c>
      <c r="C68" s="166">
        <v>152.88118789468874</v>
      </c>
      <c r="D68" s="384">
        <v>18.31103465870249</v>
      </c>
      <c r="E68" s="378">
        <v>1.092237570010541</v>
      </c>
      <c r="F68" s="374">
        <v>22.109111746037364</v>
      </c>
      <c r="G68" s="292">
        <v>0.4913135943563859</v>
      </c>
      <c r="H68" s="32" t="s">
        <v>201</v>
      </c>
      <c r="I68" s="391">
        <v>0</v>
      </c>
      <c r="J68" s="213"/>
      <c r="K68" s="152"/>
    </row>
    <row r="69" spans="2:11" ht="12.75">
      <c r="B69" s="165">
        <v>26000</v>
      </c>
      <c r="C69" s="166">
        <v>0</v>
      </c>
      <c r="D69" s="384">
        <v>18.756726550012857</v>
      </c>
      <c r="E69" s="378">
        <v>1.0662841379423047</v>
      </c>
      <c r="F69" s="374">
        <v>22.873413701588248</v>
      </c>
      <c r="G69" s="292">
        <v>0.5082980822575166</v>
      </c>
      <c r="H69" s="32">
        <v>437.345</v>
      </c>
      <c r="I69" s="391">
        <v>0</v>
      </c>
      <c r="J69" s="213"/>
      <c r="K69" s="152"/>
    </row>
    <row r="70" spans="2:11" ht="12.75">
      <c r="B70" s="165">
        <v>27000</v>
      </c>
      <c r="C70" s="166">
        <v>0</v>
      </c>
      <c r="D70" s="384">
        <v>19.19583439538738</v>
      </c>
      <c r="E70" s="378">
        <v>1.0418927142237617</v>
      </c>
      <c r="F70" s="374">
        <v>23.633800809123652</v>
      </c>
      <c r="G70" s="292">
        <v>0.5251955735360812</v>
      </c>
      <c r="H70" s="32">
        <v>272.194</v>
      </c>
      <c r="I70" s="391">
        <v>0</v>
      </c>
      <c r="J70" s="213"/>
      <c r="K70" s="152"/>
    </row>
    <row r="71" spans="2:11" ht="12.75">
      <c r="B71" s="165">
        <v>28000</v>
      </c>
      <c r="C71" s="166">
        <v>0</v>
      </c>
      <c r="D71" s="384">
        <v>19.628694124958944</v>
      </c>
      <c r="E71" s="378">
        <v>1.0189164838311338</v>
      </c>
      <c r="F71" s="374">
        <v>24.390437087890252</v>
      </c>
      <c r="G71" s="292">
        <v>0.5420097130642278</v>
      </c>
      <c r="H71" s="32">
        <v>169.804</v>
      </c>
      <c r="I71" s="391">
        <v>0</v>
      </c>
      <c r="J71" s="213"/>
      <c r="K71" s="152"/>
    </row>
    <row r="72" spans="2:11" ht="12.75">
      <c r="B72" s="165">
        <v>29000</v>
      </c>
      <c r="C72" s="166">
        <v>0</v>
      </c>
      <c r="D72" s="384">
        <v>20.05561321214818</v>
      </c>
      <c r="E72" s="378">
        <v>0.9972270500253517</v>
      </c>
      <c r="F72" s="374">
        <v>25.14347408124086</v>
      </c>
      <c r="G72" s="292">
        <v>0.5587438684720192</v>
      </c>
      <c r="H72" s="32">
        <v>106.168</v>
      </c>
      <c r="I72" s="391">
        <v>0</v>
      </c>
      <c r="J72" s="213"/>
      <c r="K72" s="152"/>
    </row>
    <row r="73" spans="2:11" ht="12.75">
      <c r="B73" s="168">
        <v>30000</v>
      </c>
      <c r="C73" s="169">
        <v>0</v>
      </c>
      <c r="D73" s="385">
        <v>20.47687397746747</v>
      </c>
      <c r="E73" s="379">
        <v>0.9767115831258122</v>
      </c>
      <c r="F73" s="375">
        <v>25.893052202658414</v>
      </c>
      <c r="G73" s="293">
        <v>0.5754011600590758</v>
      </c>
      <c r="H73" s="38">
        <v>66.524</v>
      </c>
      <c r="I73" s="392">
        <v>0</v>
      </c>
      <c r="J73" s="213"/>
      <c r="K73" s="152"/>
    </row>
    <row r="74" spans="2:11" ht="12.75">
      <c r="B74" s="222" t="s">
        <v>200</v>
      </c>
      <c r="C74" s="224"/>
      <c r="D74" s="397"/>
      <c r="E74" s="398"/>
      <c r="F74" s="397"/>
      <c r="G74" s="399"/>
      <c r="H74" s="400"/>
      <c r="I74" s="343"/>
      <c r="J74" s="213"/>
      <c r="K74" s="152"/>
    </row>
    <row r="75" spans="2:11" ht="12.75">
      <c r="B75" s="165">
        <v>24000</v>
      </c>
      <c r="C75" s="166">
        <v>81.42340513185171</v>
      </c>
      <c r="D75" s="384"/>
      <c r="E75" s="378"/>
      <c r="F75" s="374">
        <v>15</v>
      </c>
      <c r="G75" s="292">
        <v>0.3333333333333333</v>
      </c>
      <c r="H75" s="32" t="s">
        <v>201</v>
      </c>
      <c r="I75" s="391">
        <v>0</v>
      </c>
      <c r="J75" s="213"/>
      <c r="K75" s="152"/>
    </row>
    <row r="76" spans="2:12" ht="12.75">
      <c r="B76" s="168">
        <v>32000</v>
      </c>
      <c r="C76" s="169">
        <v>148.0685575758381</v>
      </c>
      <c r="D76" s="385"/>
      <c r="E76" s="379"/>
      <c r="F76" s="375">
        <v>18</v>
      </c>
      <c r="G76" s="293">
        <v>0.4</v>
      </c>
      <c r="H76" s="38" t="s">
        <v>201</v>
      </c>
      <c r="I76" s="392">
        <v>0</v>
      </c>
      <c r="J76" s="289"/>
      <c r="K76" s="213"/>
      <c r="L76" s="152"/>
    </row>
    <row r="77" spans="9:12" ht="12.75">
      <c r="I77" s="393">
        <v>0</v>
      </c>
      <c r="J77" s="289"/>
      <c r="K77" s="213"/>
      <c r="L77" s="152"/>
    </row>
    <row r="78" spans="2:14" ht="12.75">
      <c r="B78" s="233" t="s">
        <v>84</v>
      </c>
      <c r="C78" s="210"/>
      <c r="K78" s="394"/>
      <c r="L78" s="289"/>
      <c r="M78" s="213"/>
      <c r="N78" s="152"/>
    </row>
    <row r="79" spans="2:11" s="299" customFormat="1" ht="12.75">
      <c r="B79" s="482" t="s">
        <v>80</v>
      </c>
      <c r="C79" s="483"/>
      <c r="D79" s="484"/>
      <c r="E79" s="357" t="s">
        <v>98</v>
      </c>
      <c r="F79" s="186" t="s">
        <v>174</v>
      </c>
      <c r="G79" s="65" t="s">
        <v>170</v>
      </c>
      <c r="H79" s="186" t="s">
        <v>175</v>
      </c>
      <c r="I79" s="64" t="s">
        <v>176</v>
      </c>
      <c r="J79" s="65" t="s">
        <v>177</v>
      </c>
      <c r="K79" s="62" t="s">
        <v>198</v>
      </c>
    </row>
    <row r="80" spans="2:11" s="299" customFormat="1" ht="12.75">
      <c r="B80" s="316">
        <v>7</v>
      </c>
      <c r="C80" s="485" t="s">
        <v>86</v>
      </c>
      <c r="D80" s="486"/>
      <c r="E80" s="358">
        <v>20</v>
      </c>
      <c r="F80" s="332">
        <v>380</v>
      </c>
      <c r="G80" s="339">
        <v>76</v>
      </c>
      <c r="H80" s="335">
        <v>547200</v>
      </c>
      <c r="I80" s="231"/>
      <c r="J80" s="347">
        <v>547200</v>
      </c>
      <c r="K80" s="343"/>
    </row>
    <row r="81" spans="2:11" s="299" customFormat="1" ht="12.75">
      <c r="B81" s="309">
        <v>5</v>
      </c>
      <c r="C81" s="487" t="s">
        <v>167</v>
      </c>
      <c r="D81" s="488"/>
      <c r="E81" s="359">
        <v>10</v>
      </c>
      <c r="F81" s="333">
        <v>43</v>
      </c>
      <c r="G81" s="340">
        <v>4.3</v>
      </c>
      <c r="H81" s="336">
        <v>30960</v>
      </c>
      <c r="I81" s="220">
        <v>4300</v>
      </c>
      <c r="J81" s="166">
        <v>35260</v>
      </c>
      <c r="K81" s="354">
        <v>50</v>
      </c>
    </row>
    <row r="82" spans="2:11" s="299" customFormat="1" ht="12.75">
      <c r="B82" s="309">
        <v>6</v>
      </c>
      <c r="C82" s="487" t="s">
        <v>85</v>
      </c>
      <c r="D82" s="488"/>
      <c r="E82" s="359"/>
      <c r="F82" s="333">
        <v>95</v>
      </c>
      <c r="G82" s="340">
        <v>0</v>
      </c>
      <c r="H82" s="336">
        <v>0</v>
      </c>
      <c r="I82" s="220">
        <v>54720</v>
      </c>
      <c r="J82" s="166">
        <v>54720</v>
      </c>
      <c r="K82" s="344" t="s">
        <v>194</v>
      </c>
    </row>
    <row r="83" spans="2:11" s="299" customFormat="1" ht="12.75">
      <c r="B83" s="309">
        <v>3</v>
      </c>
      <c r="C83" s="487" t="s">
        <v>83</v>
      </c>
      <c r="D83" s="488"/>
      <c r="E83" s="359">
        <v>0</v>
      </c>
      <c r="F83" s="333">
        <v>26</v>
      </c>
      <c r="G83" s="340">
        <v>0</v>
      </c>
      <c r="H83" s="336">
        <v>0</v>
      </c>
      <c r="I83" s="220">
        <v>35425</v>
      </c>
      <c r="J83" s="166">
        <v>35425</v>
      </c>
      <c r="K83" s="344" t="s">
        <v>195</v>
      </c>
    </row>
    <row r="84" spans="2:11" s="299" customFormat="1" ht="12.75">
      <c r="B84" s="353">
        <v>8</v>
      </c>
      <c r="C84" s="480" t="s">
        <v>165</v>
      </c>
      <c r="D84" s="481"/>
      <c r="E84" s="360"/>
      <c r="F84" s="356">
        <v>1.6</v>
      </c>
      <c r="G84" s="341">
        <v>0</v>
      </c>
      <c r="H84" s="337">
        <v>0</v>
      </c>
      <c r="I84" s="221">
        <v>7680</v>
      </c>
      <c r="J84" s="169">
        <v>7680</v>
      </c>
      <c r="K84" s="355" t="s">
        <v>194</v>
      </c>
    </row>
    <row r="85" spans="2:11" s="299" customFormat="1" ht="12.75">
      <c r="B85" s="349"/>
      <c r="C85" s="350"/>
      <c r="D85" s="351"/>
      <c r="E85" s="361"/>
      <c r="F85" s="334" t="s">
        <v>101</v>
      </c>
      <c r="G85" s="342">
        <v>80.3</v>
      </c>
      <c r="H85" s="338">
        <v>578160</v>
      </c>
      <c r="I85" s="321">
        <v>102125</v>
      </c>
      <c r="J85" s="348">
        <v>680285</v>
      </c>
      <c r="K85" s="346"/>
    </row>
    <row r="86" spans="2:11" s="299" customFormat="1" ht="12.75">
      <c r="B86"/>
      <c r="C86"/>
      <c r="D86"/>
      <c r="E86"/>
      <c r="F86" s="256"/>
      <c r="G86" s="256"/>
      <c r="H86" s="258">
        <v>0.8498790947911538</v>
      </c>
      <c r="I86" s="258">
        <v>0.1501209052088463</v>
      </c>
      <c r="J86" s="257"/>
      <c r="K86"/>
    </row>
    <row r="87" spans="2:41" s="299" customFormat="1" ht="12.75">
      <c r="B87" s="233" t="s">
        <v>116</v>
      </c>
      <c r="C87"/>
      <c r="D87"/>
      <c r="E87"/>
      <c r="F87"/>
      <c r="G87"/>
      <c r="H87" s="258"/>
      <c r="I87" s="258"/>
      <c r="J87" s="257"/>
      <c r="K87"/>
      <c r="Q87"/>
      <c r="R87"/>
      <c r="S87"/>
      <c r="T87" s="256"/>
      <c r="U87" s="256"/>
      <c r="V87" s="258"/>
      <c r="W87" s="258"/>
      <c r="X87" s="257"/>
      <c r="Y87"/>
      <c r="AF87"/>
      <c r="AG87"/>
      <c r="AH87"/>
      <c r="AI87"/>
      <c r="AJ87" s="256"/>
      <c r="AK87" s="256"/>
      <c r="AL87" s="258"/>
      <c r="AM87" s="258"/>
      <c r="AN87" s="257"/>
      <c r="AO87"/>
    </row>
    <row r="88" ht="6" customHeight="1"/>
    <row r="89" spans="2:41" s="299" customFormat="1" ht="12.75">
      <c r="B89" t="s">
        <v>74</v>
      </c>
      <c r="C89"/>
      <c r="D89" s="154" t="s">
        <v>117</v>
      </c>
      <c r="E89" s="158" t="s">
        <v>119</v>
      </c>
      <c r="F89" s="490">
        <v>2.8</v>
      </c>
      <c r="G89" s="490"/>
      <c r="H89" s="258"/>
      <c r="I89" s="258"/>
      <c r="J89" s="257"/>
      <c r="K89"/>
      <c r="Q89"/>
      <c r="R89"/>
      <c r="S89"/>
      <c r="T89" s="256"/>
      <c r="U89" s="256"/>
      <c r="V89" s="258"/>
      <c r="W89" s="258"/>
      <c r="X89" s="257"/>
      <c r="Y89"/>
      <c r="AF89"/>
      <c r="AG89"/>
      <c r="AH89"/>
      <c r="AI89"/>
      <c r="AJ89" s="256"/>
      <c r="AK89" s="256"/>
      <c r="AL89" s="258"/>
      <c r="AM89" s="258"/>
      <c r="AN89" s="257"/>
      <c r="AO89"/>
    </row>
    <row r="90" spans="2:41" s="299" customFormat="1" ht="12.75">
      <c r="B90" s="395" t="s">
        <v>118</v>
      </c>
      <c r="C90" s="395"/>
      <c r="D90" s="396">
        <v>10</v>
      </c>
      <c r="E90" s="158" t="s">
        <v>119</v>
      </c>
      <c r="F90" s="490">
        <v>8.4</v>
      </c>
      <c r="G90" s="490"/>
      <c r="H90" s="258"/>
      <c r="I90" s="258"/>
      <c r="J90" s="257"/>
      <c r="K90"/>
      <c r="Q90"/>
      <c r="R90"/>
      <c r="S90"/>
      <c r="T90" s="256"/>
      <c r="U90" s="256"/>
      <c r="V90" s="258"/>
      <c r="W90" s="258"/>
      <c r="X90" s="257"/>
      <c r="Y90"/>
      <c r="AF90"/>
      <c r="AG90"/>
      <c r="AH90"/>
      <c r="AI90"/>
      <c r="AJ90" s="256"/>
      <c r="AK90" s="256"/>
      <c r="AL90" s="258"/>
      <c r="AM90" s="258"/>
      <c r="AN90" s="257"/>
      <c r="AO90"/>
    </row>
    <row r="91" spans="2:41" s="299" customFormat="1" ht="12.75">
      <c r="B91" t="s">
        <v>142</v>
      </c>
      <c r="C91"/>
      <c r="D91"/>
      <c r="E91" s="148" t="s">
        <v>144</v>
      </c>
      <c r="F91" s="489">
        <v>45</v>
      </c>
      <c r="G91" s="489"/>
      <c r="H91" s="258"/>
      <c r="I91" s="258"/>
      <c r="J91" s="257"/>
      <c r="K91"/>
      <c r="Q91"/>
      <c r="R91"/>
      <c r="S91"/>
      <c r="T91" s="256"/>
      <c r="U91" s="256"/>
      <c r="V91" s="258"/>
      <c r="W91" s="258"/>
      <c r="X91" s="257"/>
      <c r="Y91"/>
      <c r="AF91"/>
      <c r="AG91"/>
      <c r="AH91"/>
      <c r="AI91"/>
      <c r="AJ91" s="256"/>
      <c r="AK91" s="256"/>
      <c r="AL91" s="258"/>
      <c r="AM91" s="258"/>
      <c r="AN91" s="257"/>
      <c r="AO91"/>
    </row>
    <row r="92" spans="2:41" s="299" customFormat="1" ht="12.75">
      <c r="B92" t="s">
        <v>143</v>
      </c>
      <c r="C92"/>
      <c r="D92"/>
      <c r="E92" s="148" t="s">
        <v>145</v>
      </c>
      <c r="F92" s="489">
        <v>22.5</v>
      </c>
      <c r="G92" s="489"/>
      <c r="H92" s="258"/>
      <c r="I92" s="258"/>
      <c r="J92" s="257"/>
      <c r="K92"/>
      <c r="Q92"/>
      <c r="R92"/>
      <c r="S92"/>
      <c r="T92" s="256"/>
      <c r="U92" s="256"/>
      <c r="V92" s="258"/>
      <c r="W92" s="258"/>
      <c r="X92" s="257"/>
      <c r="Y92"/>
      <c r="AF92"/>
      <c r="AG92"/>
      <c r="AH92"/>
      <c r="AI92"/>
      <c r="AJ92" s="256"/>
      <c r="AK92" s="256"/>
      <c r="AL92" s="258"/>
      <c r="AM92" s="258"/>
      <c r="AN92" s="257"/>
      <c r="AO92"/>
    </row>
    <row r="93" spans="2:41" s="299" customFormat="1" ht="12.75">
      <c r="B93"/>
      <c r="C93"/>
      <c r="D93"/>
      <c r="E93"/>
      <c r="F93" s="256"/>
      <c r="G93" s="256"/>
      <c r="H93" s="258"/>
      <c r="I93" s="258"/>
      <c r="J93" s="257"/>
      <c r="K93"/>
      <c r="Q93"/>
      <c r="R93"/>
      <c r="S93"/>
      <c r="T93" s="256"/>
      <c r="U93" s="256"/>
      <c r="V93" s="258"/>
      <c r="W93" s="258"/>
      <c r="X93" s="257"/>
      <c r="Y93"/>
      <c r="AF93"/>
      <c r="AG93"/>
      <c r="AH93"/>
      <c r="AI93"/>
      <c r="AJ93" s="256"/>
      <c r="AK93" s="256"/>
      <c r="AL93" s="258"/>
      <c r="AM93" s="258"/>
      <c r="AN93" s="257"/>
      <c r="AO93"/>
    </row>
    <row r="94" spans="2:41" s="299" customFormat="1" ht="12.75">
      <c r="B94" s="233" t="s">
        <v>158</v>
      </c>
      <c r="C94"/>
      <c r="D94"/>
      <c r="E94"/>
      <c r="F94"/>
      <c r="G94"/>
      <c r="H94" s="308" t="s">
        <v>147</v>
      </c>
      <c r="I94" s="306">
        <v>19</v>
      </c>
      <c r="J94"/>
      <c r="Q94"/>
      <c r="R94"/>
      <c r="S94"/>
      <c r="T94" s="256"/>
      <c r="U94" s="256"/>
      <c r="V94" s="258"/>
      <c r="W94" s="258"/>
      <c r="X94" s="257"/>
      <c r="Y94"/>
      <c r="AF94"/>
      <c r="AG94"/>
      <c r="AH94"/>
      <c r="AI94"/>
      <c r="AJ94" s="256"/>
      <c r="AK94" s="256"/>
      <c r="AL94" s="258"/>
      <c r="AM94" s="258"/>
      <c r="AN94" s="257"/>
      <c r="AO94"/>
    </row>
    <row r="95" ht="6" customHeight="1"/>
    <row r="96" spans="2:41" s="299" customFormat="1" ht="12.75">
      <c r="B96" s="225" t="s">
        <v>128</v>
      </c>
      <c r="C96" s="227" t="s">
        <v>148</v>
      </c>
      <c r="D96" s="367" t="s">
        <v>150</v>
      </c>
      <c r="E96" s="227" t="s">
        <v>151</v>
      </c>
      <c r="F96" s="367" t="s">
        <v>152</v>
      </c>
      <c r="G96" s="226" t="s">
        <v>151</v>
      </c>
      <c r="H96" s="227" t="s">
        <v>148</v>
      </c>
      <c r="I96" s="307" t="s">
        <v>157</v>
      </c>
      <c r="J96"/>
      <c r="Q96"/>
      <c r="R96"/>
      <c r="S96"/>
      <c r="T96" s="256"/>
      <c r="U96" s="256"/>
      <c r="V96" s="258"/>
      <c r="W96" s="258"/>
      <c r="X96" s="257"/>
      <c r="Y96"/>
      <c r="AF96"/>
      <c r="AG96"/>
      <c r="AH96"/>
      <c r="AI96"/>
      <c r="AJ96" s="256"/>
      <c r="AK96" s="256"/>
      <c r="AL96" s="258"/>
      <c r="AM96" s="258"/>
      <c r="AN96" s="257"/>
      <c r="AO96"/>
    </row>
    <row r="97" spans="2:41" s="299" customFormat="1" ht="12.75">
      <c r="B97" s="228" t="s">
        <v>154</v>
      </c>
      <c r="C97" s="230" t="s">
        <v>155</v>
      </c>
      <c r="D97" s="368" t="s">
        <v>129</v>
      </c>
      <c r="E97" s="376" t="s">
        <v>136</v>
      </c>
      <c r="F97" s="368" t="s">
        <v>137</v>
      </c>
      <c r="G97" s="229" t="s">
        <v>141</v>
      </c>
      <c r="H97" s="230" t="s">
        <v>155</v>
      </c>
      <c r="I97" s="362" t="s">
        <v>153</v>
      </c>
      <c r="J97"/>
      <c r="Q97"/>
      <c r="R97"/>
      <c r="S97"/>
      <c r="T97" s="256"/>
      <c r="U97" s="256"/>
      <c r="V97" s="258"/>
      <c r="W97" s="258"/>
      <c r="X97" s="257"/>
      <c r="Y97"/>
      <c r="AF97"/>
      <c r="AG97"/>
      <c r="AH97"/>
      <c r="AI97"/>
      <c r="AJ97" s="256"/>
      <c r="AK97" s="256"/>
      <c r="AL97" s="258"/>
      <c r="AM97" s="258"/>
      <c r="AN97" s="257"/>
      <c r="AO97"/>
    </row>
    <row r="98" spans="2:41" s="299" customFormat="1" ht="12.75">
      <c r="B98" s="222" t="s">
        <v>126</v>
      </c>
      <c r="C98" s="224"/>
      <c r="D98" s="369"/>
      <c r="E98" s="377"/>
      <c r="F98" s="369"/>
      <c r="G98" s="223"/>
      <c r="H98" s="224"/>
      <c r="I98" s="343"/>
      <c r="J98"/>
      <c r="Q98"/>
      <c r="R98"/>
      <c r="S98"/>
      <c r="T98" s="256"/>
      <c r="U98" s="256"/>
      <c r="V98" s="258"/>
      <c r="W98" s="258"/>
      <c r="X98" s="257"/>
      <c r="Y98"/>
      <c r="AF98"/>
      <c r="AG98"/>
      <c r="AH98"/>
      <c r="AI98"/>
      <c r="AJ98" s="256"/>
      <c r="AK98" s="256"/>
      <c r="AL98" s="258"/>
      <c r="AM98" s="258"/>
      <c r="AN98" s="257"/>
      <c r="AO98"/>
    </row>
    <row r="99" spans="2:41" s="299" customFormat="1" ht="12.75">
      <c r="B99" s="165">
        <v>12000</v>
      </c>
      <c r="C99" s="166">
        <v>40.50155106215105</v>
      </c>
      <c r="D99" s="384">
        <v>16.268442358760137</v>
      </c>
      <c r="E99" s="378">
        <v>1.1679052967089372</v>
      </c>
      <c r="F99" s="374">
        <v>20.21321524087544</v>
      </c>
      <c r="G99" s="292">
        <v>0.4491825609083431</v>
      </c>
      <c r="H99" s="32" t="s">
        <v>201</v>
      </c>
      <c r="I99" s="391">
        <v>0</v>
      </c>
      <c r="J99" s="213"/>
      <c r="Q99"/>
      <c r="R99"/>
      <c r="S99"/>
      <c r="T99" s="256"/>
      <c r="U99" s="256"/>
      <c r="V99" s="258"/>
      <c r="W99" s="258"/>
      <c r="X99" s="257"/>
      <c r="Y99"/>
      <c r="AF99"/>
      <c r="AG99"/>
      <c r="AH99"/>
      <c r="AI99"/>
      <c r="AJ99" s="256"/>
      <c r="AK99" s="256"/>
      <c r="AL99" s="258"/>
      <c r="AM99" s="258"/>
      <c r="AN99" s="257"/>
      <c r="AO99"/>
    </row>
    <row r="100" spans="2:35" s="299" customFormat="1" ht="12.75">
      <c r="B100" s="165">
        <v>13000</v>
      </c>
      <c r="C100" s="166">
        <v>212.46815272122893</v>
      </c>
      <c r="D100" s="384">
        <v>17.0052209698244</v>
      </c>
      <c r="E100" s="378">
        <v>1.1173039170567272</v>
      </c>
      <c r="F100" s="374">
        <v>21.48281028867083</v>
      </c>
      <c r="G100" s="292">
        <v>0.47739578419268514</v>
      </c>
      <c r="H100" s="32" t="s">
        <v>201</v>
      </c>
      <c r="I100" s="391">
        <v>0</v>
      </c>
      <c r="J100" s="213"/>
      <c r="K100"/>
      <c r="L100"/>
      <c r="M100"/>
      <c r="N100" s="256"/>
      <c r="O100" s="256"/>
      <c r="P100" s="258"/>
      <c r="Q100" s="258"/>
      <c r="R100" s="257"/>
      <c r="S100"/>
      <c r="Z100"/>
      <c r="AA100"/>
      <c r="AB100"/>
      <c r="AC100"/>
      <c r="AD100" s="256"/>
      <c r="AE100" s="256"/>
      <c r="AF100" s="258"/>
      <c r="AG100" s="258"/>
      <c r="AH100" s="257"/>
      <c r="AI100"/>
    </row>
    <row r="101" spans="2:35" s="299" customFormat="1" ht="12.75">
      <c r="B101" s="165">
        <v>14000</v>
      </c>
      <c r="C101" s="166">
        <v>695.224693948747</v>
      </c>
      <c r="D101" s="384">
        <v>17.717087003266567</v>
      </c>
      <c r="E101" s="378">
        <v>1.0724110569924332</v>
      </c>
      <c r="F101" s="374">
        <v>22.72925698026496</v>
      </c>
      <c r="G101" s="292">
        <v>0.5050945995614435</v>
      </c>
      <c r="H101" s="32">
        <v>478.485</v>
      </c>
      <c r="I101" s="391">
        <v>1.4529707178882243</v>
      </c>
      <c r="J101" s="213"/>
      <c r="K101"/>
      <c r="L101"/>
      <c r="M101"/>
      <c r="N101" s="256"/>
      <c r="O101" s="256"/>
      <c r="P101" s="258"/>
      <c r="Q101" s="258"/>
      <c r="R101" s="257"/>
      <c r="S101"/>
      <c r="Z101"/>
      <c r="AA101"/>
      <c r="AB101"/>
      <c r="AC101"/>
      <c r="AD101" s="256"/>
      <c r="AE101" s="256"/>
      <c r="AF101" s="258"/>
      <c r="AG101" s="258"/>
      <c r="AH101" s="257"/>
      <c r="AI101"/>
    </row>
    <row r="102" spans="2:35" s="299" customFormat="1" ht="12.75">
      <c r="B102" s="165">
        <v>15000</v>
      </c>
      <c r="C102" s="166">
        <v>0</v>
      </c>
      <c r="D102" s="384">
        <v>18.406578476660663</v>
      </c>
      <c r="E102" s="378">
        <v>1.032239643239062</v>
      </c>
      <c r="F102" s="374">
        <v>23.954590047345693</v>
      </c>
      <c r="G102" s="292">
        <v>0.5323242232743487</v>
      </c>
      <c r="H102" s="32">
        <v>222.841</v>
      </c>
      <c r="I102" s="391">
        <v>0</v>
      </c>
      <c r="J102" s="213"/>
      <c r="K102"/>
      <c r="L102"/>
      <c r="M102"/>
      <c r="N102" s="256"/>
      <c r="O102" s="256"/>
      <c r="P102" s="258"/>
      <c r="Q102" s="258"/>
      <c r="R102" s="257"/>
      <c r="S102"/>
      <c r="Z102"/>
      <c r="AA102"/>
      <c r="AB102"/>
      <c r="AC102"/>
      <c r="AD102" s="256"/>
      <c r="AE102" s="256"/>
      <c r="AF102" s="258"/>
      <c r="AG102" s="258"/>
      <c r="AH102" s="257"/>
      <c r="AI102"/>
    </row>
    <row r="103" spans="2:35" s="299" customFormat="1" ht="12.75">
      <c r="B103" s="168">
        <v>16000</v>
      </c>
      <c r="C103" s="169">
        <v>0</v>
      </c>
      <c r="D103" s="385">
        <v>19.07582464714007</v>
      </c>
      <c r="E103" s="379">
        <v>0.9960250920448969</v>
      </c>
      <c r="F103" s="375">
        <v>25.160542228880466</v>
      </c>
      <c r="G103" s="293">
        <v>0.5591231606417881</v>
      </c>
      <c r="H103" s="38">
        <v>105.044</v>
      </c>
      <c r="I103" s="392">
        <v>0</v>
      </c>
      <c r="J103" s="213"/>
      <c r="K103"/>
      <c r="L103"/>
      <c r="M103"/>
      <c r="N103" s="256"/>
      <c r="O103" s="256"/>
      <c r="P103" s="258"/>
      <c r="Q103" s="258"/>
      <c r="R103" s="257"/>
      <c r="S103"/>
      <c r="Z103"/>
      <c r="AA103"/>
      <c r="AB103"/>
      <c r="AC103"/>
      <c r="AD103" s="256"/>
      <c r="AE103" s="256"/>
      <c r="AF103" s="258"/>
      <c r="AG103" s="258"/>
      <c r="AH103" s="257"/>
      <c r="AI103"/>
    </row>
    <row r="104" spans="2:35" s="299" customFormat="1" ht="12.75">
      <c r="B104" s="222" t="s">
        <v>138</v>
      </c>
      <c r="C104" s="224"/>
      <c r="D104" s="397"/>
      <c r="E104" s="398"/>
      <c r="F104" s="397"/>
      <c r="G104" s="399"/>
      <c r="H104" s="400"/>
      <c r="I104" s="343"/>
      <c r="J104" s="219"/>
      <c r="K104"/>
      <c r="L104"/>
      <c r="M104"/>
      <c r="N104" s="256"/>
      <c r="O104" s="256"/>
      <c r="P104" s="258"/>
      <c r="Q104" s="258"/>
      <c r="R104" s="257"/>
      <c r="S104"/>
      <c r="Z104"/>
      <c r="AA104"/>
      <c r="AB104"/>
      <c r="AC104"/>
      <c r="AD104" s="256"/>
      <c r="AE104" s="256"/>
      <c r="AF104" s="258"/>
      <c r="AG104" s="258"/>
      <c r="AH104" s="257"/>
      <c r="AI104"/>
    </row>
    <row r="105" spans="2:35" s="299" customFormat="1" ht="12.75">
      <c r="B105" s="165">
        <v>15000</v>
      </c>
      <c r="C105" s="166">
        <v>308.7976918611738</v>
      </c>
      <c r="D105" s="384">
        <v>13.387025952948258</v>
      </c>
      <c r="E105" s="378">
        <v>1.4192846168207796</v>
      </c>
      <c r="F105" s="374">
        <v>15.269204963945164</v>
      </c>
      <c r="G105" s="292">
        <v>0.3393156658654481</v>
      </c>
      <c r="H105" s="32" t="s">
        <v>201</v>
      </c>
      <c r="I105" s="391">
        <v>0</v>
      </c>
      <c r="J105" s="213"/>
      <c r="K105"/>
      <c r="L105"/>
      <c r="M105"/>
      <c r="N105" s="256"/>
      <c r="O105" s="256"/>
      <c r="P105" s="258"/>
      <c r="Q105" s="258"/>
      <c r="R105" s="257"/>
      <c r="S105"/>
      <c r="Z105"/>
      <c r="AA105"/>
      <c r="AB105"/>
      <c r="AC105"/>
      <c r="AD105" s="256"/>
      <c r="AE105" s="256"/>
      <c r="AF105" s="258"/>
      <c r="AG105" s="258"/>
      <c r="AH105" s="257"/>
      <c r="AI105"/>
    </row>
    <row r="106" spans="2:41" s="299" customFormat="1" ht="12.75">
      <c r="B106" s="165">
        <v>16000</v>
      </c>
      <c r="C106" s="166">
        <v>0</v>
      </c>
      <c r="D106" s="384">
        <v>13.927404766556105</v>
      </c>
      <c r="E106" s="378">
        <v>1.3642168313815883</v>
      </c>
      <c r="F106" s="374">
        <v>16.147444862728864</v>
      </c>
      <c r="G106" s="292">
        <v>0.3588321080606414</v>
      </c>
      <c r="H106" s="32" t="s">
        <v>201</v>
      </c>
      <c r="I106" s="391">
        <v>0</v>
      </c>
      <c r="J106" s="213"/>
      <c r="K106" s="152"/>
      <c r="L106"/>
      <c r="M106"/>
      <c r="N106"/>
      <c r="O106"/>
      <c r="P106"/>
      <c r="Q106"/>
      <c r="R106"/>
      <c r="S106"/>
      <c r="T106" s="256"/>
      <c r="U106" s="256"/>
      <c r="V106" s="258"/>
      <c r="W106" s="258"/>
      <c r="X106" s="257"/>
      <c r="Y106"/>
      <c r="AF106"/>
      <c r="AG106"/>
      <c r="AH106"/>
      <c r="AI106"/>
      <c r="AJ106" s="256"/>
      <c r="AK106" s="256"/>
      <c r="AL106" s="258"/>
      <c r="AM106" s="258"/>
      <c r="AN106" s="257"/>
      <c r="AO106"/>
    </row>
    <row r="107" spans="2:41" s="299" customFormat="1" ht="12.75">
      <c r="B107" s="165">
        <v>17000</v>
      </c>
      <c r="C107" s="166">
        <v>0</v>
      </c>
      <c r="D107" s="384">
        <v>14.454865319565203</v>
      </c>
      <c r="E107" s="378">
        <v>1.314436321608807</v>
      </c>
      <c r="F107" s="374">
        <v>17.018383342892644</v>
      </c>
      <c r="G107" s="292">
        <v>0.37818629650872543</v>
      </c>
      <c r="H107" s="32" t="s">
        <v>201</v>
      </c>
      <c r="I107" s="391">
        <v>0</v>
      </c>
      <c r="J107" s="213"/>
      <c r="K107" s="152"/>
      <c r="L107"/>
      <c r="M107"/>
      <c r="N107"/>
      <c r="O107"/>
      <c r="P107"/>
      <c r="Q107"/>
      <c r="R107"/>
      <c r="S107"/>
      <c r="T107" s="256"/>
      <c r="U107" s="256"/>
      <c r="V107" s="258"/>
      <c r="W107" s="258"/>
      <c r="X107" s="257"/>
      <c r="Y107"/>
      <c r="AF107"/>
      <c r="AG107"/>
      <c r="AH107"/>
      <c r="AI107"/>
      <c r="AJ107" s="256"/>
      <c r="AK107" s="256"/>
      <c r="AL107" s="258"/>
      <c r="AM107" s="258"/>
      <c r="AN107" s="257"/>
      <c r="AO107"/>
    </row>
    <row r="108" spans="2:41" s="299" customFormat="1" ht="12.75">
      <c r="B108" s="165">
        <v>18000</v>
      </c>
      <c r="C108" s="166">
        <v>866.2773666133229</v>
      </c>
      <c r="D108" s="384">
        <v>14.970450795434868</v>
      </c>
      <c r="E108" s="378">
        <v>1.269166858074435</v>
      </c>
      <c r="F108" s="374">
        <v>17.882505899197216</v>
      </c>
      <c r="G108" s="292">
        <v>0.39738901998216036</v>
      </c>
      <c r="H108" s="32" t="s">
        <v>201</v>
      </c>
      <c r="I108" s="391">
        <v>0</v>
      </c>
      <c r="J108" s="213"/>
      <c r="K108" s="152"/>
      <c r="L108"/>
      <c r="M108"/>
      <c r="N108"/>
      <c r="O108"/>
      <c r="P108"/>
      <c r="Q108"/>
      <c r="R108"/>
      <c r="S108"/>
      <c r="T108" s="256"/>
      <c r="U108" s="256"/>
      <c r="V108" s="258"/>
      <c r="W108" s="258"/>
      <c r="X108" s="257"/>
      <c r="Y108"/>
      <c r="AF108"/>
      <c r="AG108"/>
      <c r="AH108"/>
      <c r="AI108"/>
      <c r="AJ108" s="256"/>
      <c r="AK108" s="256"/>
      <c r="AL108" s="258"/>
      <c r="AM108" s="258"/>
      <c r="AN108" s="257"/>
      <c r="AO108"/>
    </row>
    <row r="109" spans="2:41" s="299" customFormat="1" ht="12.75">
      <c r="B109" s="165">
        <v>19000</v>
      </c>
      <c r="C109" s="166">
        <v>379.3345005389016</v>
      </c>
      <c r="D109" s="384">
        <v>15.475067317279505</v>
      </c>
      <c r="E109" s="378">
        <v>1.2277814118963182</v>
      </c>
      <c r="F109" s="374">
        <v>18.74024060339243</v>
      </c>
      <c r="G109" s="292">
        <v>0.41644979118649844</v>
      </c>
      <c r="H109" s="32" t="s">
        <v>201</v>
      </c>
      <c r="I109" s="391">
        <v>0</v>
      </c>
      <c r="J109" s="213"/>
      <c r="K109" s="152"/>
      <c r="L109"/>
      <c r="M109"/>
      <c r="N109"/>
      <c r="O109"/>
      <c r="P109"/>
      <c r="Q109"/>
      <c r="R109"/>
      <c r="S109"/>
      <c r="T109" s="256"/>
      <c r="U109" s="256"/>
      <c r="V109" s="258"/>
      <c r="W109" s="258"/>
      <c r="X109" s="257"/>
      <c r="Y109"/>
      <c r="AF109"/>
      <c r="AG109"/>
      <c r="AH109"/>
      <c r="AI109"/>
      <c r="AJ109" s="256"/>
      <c r="AK109" s="256"/>
      <c r="AL109" s="258"/>
      <c r="AM109" s="258"/>
      <c r="AN109" s="257"/>
      <c r="AO109"/>
    </row>
    <row r="110" spans="2:41" s="299" customFormat="1" ht="12.75">
      <c r="B110" s="165">
        <v>20000</v>
      </c>
      <c r="C110" s="166">
        <v>228.70184993493842</v>
      </c>
      <c r="D110" s="384">
        <v>15.969508176089414</v>
      </c>
      <c r="E110" s="378">
        <v>1.1897673861019737</v>
      </c>
      <c r="F110" s="374">
        <v>19.59196755959412</v>
      </c>
      <c r="G110" s="292">
        <v>0.43537705687986933</v>
      </c>
      <c r="H110" s="32" t="s">
        <v>201</v>
      </c>
      <c r="I110" s="391">
        <v>0</v>
      </c>
      <c r="J110" s="213"/>
      <c r="K110" s="152"/>
      <c r="L110"/>
      <c r="M110"/>
      <c r="N110"/>
      <c r="O110"/>
      <c r="P110"/>
      <c r="Q110"/>
      <c r="R110"/>
      <c r="S110"/>
      <c r="T110" s="256"/>
      <c r="U110" s="256"/>
      <c r="V110" s="258"/>
      <c r="W110" s="258"/>
      <c r="X110" s="257"/>
      <c r="Y110"/>
      <c r="AF110"/>
      <c r="AG110"/>
      <c r="AH110"/>
      <c r="AI110"/>
      <c r="AJ110" s="256"/>
      <c r="AK110" s="256"/>
      <c r="AL110" s="258"/>
      <c r="AM110" s="258"/>
      <c r="AN110" s="257"/>
      <c r="AO110"/>
    </row>
    <row r="111" spans="2:41" s="299" customFormat="1" ht="12.75">
      <c r="B111" s="165">
        <v>21000</v>
      </c>
      <c r="C111" s="166">
        <v>0</v>
      </c>
      <c r="D111" s="384">
        <v>16.454472785000622</v>
      </c>
      <c r="E111" s="378">
        <v>1.1547012321974728</v>
      </c>
      <c r="F111" s="374">
        <v>20.43802640763179</v>
      </c>
      <c r="G111" s="292">
        <v>0.45417836461403976</v>
      </c>
      <c r="H111" s="32" t="s">
        <v>201</v>
      </c>
      <c r="I111" s="391">
        <v>0</v>
      </c>
      <c r="J111" s="213"/>
      <c r="K111" s="152"/>
      <c r="L111"/>
      <c r="M111"/>
      <c r="N111"/>
      <c r="O111"/>
      <c r="P111"/>
      <c r="Q111"/>
      <c r="R111"/>
      <c r="S111"/>
      <c r="T111" s="256"/>
      <c r="U111" s="256"/>
      <c r="V111" s="258"/>
      <c r="W111" s="258"/>
      <c r="X111" s="257"/>
      <c r="Y111"/>
      <c r="AF111"/>
      <c r="AG111"/>
      <c r="AH111"/>
      <c r="AI111"/>
      <c r="AJ111" s="256"/>
      <c r="AK111" s="256"/>
      <c r="AL111" s="258"/>
      <c r="AM111" s="258"/>
      <c r="AN111" s="257"/>
      <c r="AO111"/>
    </row>
    <row r="112" spans="2:41" s="299" customFormat="1" ht="12.75">
      <c r="B112" s="165">
        <v>22000</v>
      </c>
      <c r="C112" s="166">
        <v>0</v>
      </c>
      <c r="D112" s="384">
        <v>16.930581703091896</v>
      </c>
      <c r="E112" s="378">
        <v>1.1222296039911128</v>
      </c>
      <c r="F112" s="374">
        <v>21.27872235121075</v>
      </c>
      <c r="G112" s="292">
        <v>0.4728604966935722</v>
      </c>
      <c r="H112" s="32" t="s">
        <v>201</v>
      </c>
      <c r="I112" s="391">
        <v>0</v>
      </c>
      <c r="J112" s="213"/>
      <c r="K112" s="152"/>
      <c r="L112"/>
      <c r="M112"/>
      <c r="N112"/>
      <c r="O112"/>
      <c r="P112"/>
      <c r="Q112"/>
      <c r="R112"/>
      <c r="S112"/>
      <c r="T112" s="256"/>
      <c r="U112" s="256"/>
      <c r="V112" s="258"/>
      <c r="W112" s="258"/>
      <c r="X112" s="257"/>
      <c r="Y112"/>
      <c r="AF112"/>
      <c r="AG112"/>
      <c r="AH112"/>
      <c r="AI112"/>
      <c r="AJ112" s="256"/>
      <c r="AK112" s="256"/>
      <c r="AL112" s="258"/>
      <c r="AM112" s="258"/>
      <c r="AN112" s="257"/>
      <c r="AO112"/>
    </row>
    <row r="113" spans="2:41" s="299" customFormat="1" ht="12.75">
      <c r="B113" s="165">
        <v>23000</v>
      </c>
      <c r="C113" s="166">
        <v>152.88118789468874</v>
      </c>
      <c r="D113" s="384">
        <v>17.39838868463557</v>
      </c>
      <c r="E113" s="378">
        <v>1.09205515202559</v>
      </c>
      <c r="F113" s="374">
        <v>22.114331054836356</v>
      </c>
      <c r="G113" s="292">
        <v>0.49142957899636347</v>
      </c>
      <c r="H113" s="32" t="s">
        <v>201</v>
      </c>
      <c r="I113" s="391">
        <v>0</v>
      </c>
      <c r="J113" s="213"/>
      <c r="K113" s="152"/>
      <c r="L113"/>
      <c r="M113"/>
      <c r="N113"/>
      <c r="O113"/>
      <c r="P113"/>
      <c r="Q113"/>
      <c r="R113"/>
      <c r="S113"/>
      <c r="T113" s="256"/>
      <c r="U113" s="256"/>
      <c r="V113" s="258"/>
      <c r="W113" s="258"/>
      <c r="X113" s="257"/>
      <c r="Y113"/>
      <c r="AF113"/>
      <c r="AG113"/>
      <c r="AH113"/>
      <c r="AI113"/>
      <c r="AJ113" s="256"/>
      <c r="AK113" s="256"/>
      <c r="AL113" s="258"/>
      <c r="AM113" s="258"/>
      <c r="AN113" s="257"/>
      <c r="AO113"/>
    </row>
    <row r="114" spans="2:41" s="299" customFormat="1" ht="12.75">
      <c r="B114" s="165">
        <v>24000</v>
      </c>
      <c r="C114" s="166">
        <v>344.14016151289053</v>
      </c>
      <c r="D114" s="384">
        <v>17.858390445922026</v>
      </c>
      <c r="E114" s="378">
        <v>1.0639256688633247</v>
      </c>
      <c r="F114" s="374">
        <v>22.945102661769507</v>
      </c>
      <c r="G114" s="292">
        <v>0.5098911702615446</v>
      </c>
      <c r="H114" s="32">
        <v>418.223</v>
      </c>
      <c r="I114" s="391">
        <v>0.8228628303868761</v>
      </c>
      <c r="J114" s="213"/>
      <c r="K114" s="152"/>
      <c r="L114"/>
      <c r="M114"/>
      <c r="N114"/>
      <c r="O114"/>
      <c r="P114"/>
      <c r="Q114"/>
      <c r="R114"/>
      <c r="S114"/>
      <c r="T114" s="256"/>
      <c r="U114" s="256"/>
      <c r="V114" s="258"/>
      <c r="W114" s="258"/>
      <c r="X114" s="257"/>
      <c r="Y114"/>
      <c r="AF114"/>
      <c r="AG114"/>
      <c r="AH114"/>
      <c r="AI114"/>
      <c r="AJ114" s="256"/>
      <c r="AK114" s="256"/>
      <c r="AL114" s="258"/>
      <c r="AM114" s="258"/>
      <c r="AN114" s="257"/>
      <c r="AO114"/>
    </row>
    <row r="115" spans="2:41" s="299" customFormat="1" ht="12.75">
      <c r="B115" s="165">
        <v>25000</v>
      </c>
      <c r="C115" s="166">
        <v>152.88118789468874</v>
      </c>
      <c r="D115" s="384">
        <v>18.31103465870249</v>
      </c>
      <c r="E115" s="378">
        <v>1.0376256915100137</v>
      </c>
      <c r="F115" s="374">
        <v>23.771265120847172</v>
      </c>
      <c r="G115" s="292">
        <v>0.5282503360188261</v>
      </c>
      <c r="H115" s="32">
        <v>249.832</v>
      </c>
      <c r="I115" s="391">
        <v>0.6119359725523101</v>
      </c>
      <c r="J115" s="213"/>
      <c r="K115" s="152"/>
      <c r="L115"/>
      <c r="M115"/>
      <c r="N115"/>
      <c r="O115"/>
      <c r="P115"/>
      <c r="Q115"/>
      <c r="R115"/>
      <c r="S115"/>
      <c r="T115" s="256"/>
      <c r="U115" s="256"/>
      <c r="V115" s="258"/>
      <c r="W115" s="258"/>
      <c r="X115" s="257"/>
      <c r="Y115"/>
      <c r="AF115"/>
      <c r="AG115"/>
      <c r="AH115"/>
      <c r="AI115"/>
      <c r="AJ115" s="256"/>
      <c r="AK115" s="256"/>
      <c r="AL115" s="258"/>
      <c r="AM115" s="258"/>
      <c r="AN115" s="257"/>
      <c r="AO115"/>
    </row>
    <row r="116" spans="2:41" s="299" customFormat="1" ht="12.75">
      <c r="B116" s="165">
        <v>26000</v>
      </c>
      <c r="C116" s="166">
        <v>0</v>
      </c>
      <c r="D116" s="384">
        <v>18.756726550012857</v>
      </c>
      <c r="E116" s="378">
        <v>1.0129699310451896</v>
      </c>
      <c r="F116" s="374">
        <v>24.59302696394963</v>
      </c>
      <c r="G116" s="292">
        <v>0.5465117103099918</v>
      </c>
      <c r="H116" s="32">
        <v>149.651</v>
      </c>
      <c r="I116" s="391">
        <v>0</v>
      </c>
      <c r="J116" s="213"/>
      <c r="K116" s="152"/>
      <c r="L116"/>
      <c r="M116"/>
      <c r="N116"/>
      <c r="O116"/>
      <c r="P116"/>
      <c r="Q116"/>
      <c r="R116"/>
      <c r="S116"/>
      <c r="T116" s="256"/>
      <c r="U116" s="256"/>
      <c r="V116" s="258"/>
      <c r="W116" s="258"/>
      <c r="X116" s="257"/>
      <c r="Y116"/>
      <c r="AF116"/>
      <c r="AG116"/>
      <c r="AH116"/>
      <c r="AI116"/>
      <c r="AJ116" s="256"/>
      <c r="AK116" s="256"/>
      <c r="AL116" s="258"/>
      <c r="AM116" s="258"/>
      <c r="AN116" s="257"/>
      <c r="AO116"/>
    </row>
    <row r="117" spans="2:41" s="299" customFormat="1" ht="12.75">
      <c r="B117" s="165">
        <v>27000</v>
      </c>
      <c r="C117" s="166">
        <v>0</v>
      </c>
      <c r="D117" s="384">
        <v>19.19583439538738</v>
      </c>
      <c r="E117" s="378">
        <v>0.9897980785125737</v>
      </c>
      <c r="F117" s="374">
        <v>25.41057964247087</v>
      </c>
      <c r="G117" s="292">
        <v>0.5646795476104638</v>
      </c>
      <c r="H117" s="32">
        <v>89.877</v>
      </c>
      <c r="I117" s="391">
        <v>0</v>
      </c>
      <c r="J117" s="213"/>
      <c r="K117" s="152"/>
      <c r="L117"/>
      <c r="M117"/>
      <c r="N117"/>
      <c r="O117"/>
      <c r="P117"/>
      <c r="Q117"/>
      <c r="R117"/>
      <c r="S117"/>
      <c r="T117" s="256"/>
      <c r="U117" s="256"/>
      <c r="V117" s="258"/>
      <c r="W117" s="258"/>
      <c r="X117" s="257"/>
      <c r="Y117"/>
      <c r="AF117"/>
      <c r="AG117"/>
      <c r="AH117"/>
      <c r="AI117"/>
      <c r="AJ117" s="256"/>
      <c r="AK117" s="256"/>
      <c r="AL117" s="258"/>
      <c r="AM117" s="258"/>
      <c r="AN117" s="257"/>
      <c r="AO117"/>
    </row>
    <row r="118" spans="2:41" s="299" customFormat="1" ht="12.75">
      <c r="B118" s="165">
        <v>28000</v>
      </c>
      <c r="C118" s="166">
        <v>0</v>
      </c>
      <c r="D118" s="384">
        <v>19.628694124958944</v>
      </c>
      <c r="E118" s="378">
        <v>0.9679706596395771</v>
      </c>
      <c r="F118" s="374">
        <v>26.22409950655296</v>
      </c>
      <c r="G118" s="292">
        <v>0.582757766812288</v>
      </c>
      <c r="H118" s="32">
        <v>54.114</v>
      </c>
      <c r="I118" s="391">
        <v>0</v>
      </c>
      <c r="J118" s="213"/>
      <c r="K118" s="152"/>
      <c r="L118"/>
      <c r="M118"/>
      <c r="N118"/>
      <c r="O118"/>
      <c r="P118"/>
      <c r="Q118"/>
      <c r="R118"/>
      <c r="S118"/>
      <c r="T118" s="256"/>
      <c r="U118" s="256"/>
      <c r="V118" s="258"/>
      <c r="W118" s="258"/>
      <c r="X118" s="257"/>
      <c r="Y118"/>
      <c r="AF118"/>
      <c r="AG118"/>
      <c r="AH118"/>
      <c r="AI118"/>
      <c r="AJ118" s="256"/>
      <c r="AK118" s="256"/>
      <c r="AL118" s="258"/>
      <c r="AM118" s="258"/>
      <c r="AN118" s="257"/>
      <c r="AO118"/>
    </row>
    <row r="119" spans="2:41" s="299" customFormat="1" ht="12.75">
      <c r="B119" s="165">
        <v>29000</v>
      </c>
      <c r="C119" s="166">
        <v>0</v>
      </c>
      <c r="D119" s="384">
        <v>20.05561321214818</v>
      </c>
      <c r="E119" s="378">
        <v>0.9473656975240842</v>
      </c>
      <c r="F119" s="374">
        <v>27.033749492511863</v>
      </c>
      <c r="G119" s="292">
        <v>0.6007499887224859</v>
      </c>
      <c r="H119" s="32">
        <v>32.661</v>
      </c>
      <c r="I119" s="391">
        <v>0</v>
      </c>
      <c r="J119" s="213"/>
      <c r="K119" s="152"/>
      <c r="L119"/>
      <c r="M119"/>
      <c r="N119"/>
      <c r="O119"/>
      <c r="P119"/>
      <c r="Q119"/>
      <c r="R119"/>
      <c r="S119"/>
      <c r="T119" s="256"/>
      <c r="U119" s="256"/>
      <c r="V119" s="258"/>
      <c r="W119" s="258"/>
      <c r="X119" s="257"/>
      <c r="Y119"/>
      <c r="AF119"/>
      <c r="AG119"/>
      <c r="AH119"/>
      <c r="AI119"/>
      <c r="AJ119" s="256"/>
      <c r="AK119" s="256"/>
      <c r="AL119" s="258"/>
      <c r="AM119" s="258"/>
      <c r="AN119" s="257"/>
      <c r="AO119"/>
    </row>
    <row r="120" spans="2:41" s="299" customFormat="1" ht="12.75">
      <c r="B120" s="168">
        <v>30000</v>
      </c>
      <c r="C120" s="169">
        <v>0</v>
      </c>
      <c r="D120" s="385">
        <v>20.47687397746747</v>
      </c>
      <c r="E120" s="379">
        <v>0.9278760039695216</v>
      </c>
      <c r="F120" s="375">
        <v>27.83968057005489</v>
      </c>
      <c r="G120" s="293">
        <v>0.618659568223442</v>
      </c>
      <c r="H120" s="38">
        <v>19.758</v>
      </c>
      <c r="I120" s="392">
        <v>0</v>
      </c>
      <c r="J120" s="213"/>
      <c r="K120" s="152"/>
      <c r="L120"/>
      <c r="M120"/>
      <c r="N120"/>
      <c r="O120"/>
      <c r="P120"/>
      <c r="Q120"/>
      <c r="R120"/>
      <c r="S120"/>
      <c r="T120" s="256"/>
      <c r="U120" s="256"/>
      <c r="V120" s="258"/>
      <c r="W120" s="258"/>
      <c r="X120" s="257"/>
      <c r="Y120"/>
      <c r="AF120"/>
      <c r="AG120"/>
      <c r="AH120"/>
      <c r="AI120"/>
      <c r="AJ120" s="256"/>
      <c r="AK120" s="256"/>
      <c r="AL120" s="258"/>
      <c r="AM120" s="258"/>
      <c r="AN120" s="257"/>
      <c r="AO120"/>
    </row>
    <row r="121" spans="2:41" s="299" customFormat="1" ht="12.75">
      <c r="B121" s="222" t="s">
        <v>200</v>
      </c>
      <c r="C121" s="224"/>
      <c r="D121" s="397"/>
      <c r="E121" s="398"/>
      <c r="F121" s="397"/>
      <c r="G121" s="399"/>
      <c r="H121" s="400"/>
      <c r="I121" s="343"/>
      <c r="J121" s="213"/>
      <c r="K121" s="152"/>
      <c r="L121"/>
      <c r="M121"/>
      <c r="N121"/>
      <c r="O121"/>
      <c r="P121"/>
      <c r="Q121"/>
      <c r="R121"/>
      <c r="S121"/>
      <c r="T121" s="256"/>
      <c r="U121" s="256"/>
      <c r="V121" s="258"/>
      <c r="W121" s="258"/>
      <c r="X121" s="257"/>
      <c r="Y121"/>
      <c r="AF121"/>
      <c r="AG121"/>
      <c r="AH121"/>
      <c r="AI121"/>
      <c r="AJ121" s="256"/>
      <c r="AK121" s="256"/>
      <c r="AL121" s="258"/>
      <c r="AM121" s="258"/>
      <c r="AN121" s="257"/>
      <c r="AO121"/>
    </row>
    <row r="122" spans="2:41" s="299" customFormat="1" ht="12.75">
      <c r="B122" s="165">
        <v>24000</v>
      </c>
      <c r="C122" s="166">
        <v>81.42340513185171</v>
      </c>
      <c r="D122" s="384"/>
      <c r="E122" s="378"/>
      <c r="F122" s="374">
        <v>15</v>
      </c>
      <c r="G122" s="292">
        <v>0.3333333333333333</v>
      </c>
      <c r="H122" s="32" t="s">
        <v>201</v>
      </c>
      <c r="I122" s="391">
        <v>0</v>
      </c>
      <c r="J122" s="213"/>
      <c r="K122" s="152"/>
      <c r="L122"/>
      <c r="M122"/>
      <c r="N122"/>
      <c r="O122"/>
      <c r="P122"/>
      <c r="Q122"/>
      <c r="R122"/>
      <c r="S122"/>
      <c r="T122" s="256"/>
      <c r="U122" s="256"/>
      <c r="V122" s="258"/>
      <c r="W122" s="258"/>
      <c r="X122" s="257"/>
      <c r="Y122"/>
      <c r="AF122"/>
      <c r="AG122"/>
      <c r="AH122"/>
      <c r="AI122"/>
      <c r="AJ122" s="256"/>
      <c r="AK122" s="256"/>
      <c r="AL122" s="258"/>
      <c r="AM122" s="258"/>
      <c r="AN122" s="257"/>
      <c r="AO122"/>
    </row>
    <row r="123" spans="2:41" s="299" customFormat="1" ht="12.75">
      <c r="B123" s="168">
        <v>32000</v>
      </c>
      <c r="C123" s="169">
        <v>148.0685575758381</v>
      </c>
      <c r="D123" s="385"/>
      <c r="E123" s="379"/>
      <c r="F123" s="375">
        <v>18</v>
      </c>
      <c r="G123" s="293">
        <v>0.4</v>
      </c>
      <c r="H123" s="38" t="s">
        <v>201</v>
      </c>
      <c r="I123" s="392">
        <v>0</v>
      </c>
      <c r="J123" s="289"/>
      <c r="K123" s="213"/>
      <c r="L123" s="152"/>
      <c r="M123"/>
      <c r="N123"/>
      <c r="O123"/>
      <c r="P123"/>
      <c r="Q123"/>
      <c r="R123"/>
      <c r="S123"/>
      <c r="T123" s="256"/>
      <c r="U123" s="256"/>
      <c r="V123" s="258"/>
      <c r="W123" s="258"/>
      <c r="X123" s="257"/>
      <c r="Y123"/>
      <c r="AF123"/>
      <c r="AG123"/>
      <c r="AH123"/>
      <c r="AI123"/>
      <c r="AJ123" s="256"/>
      <c r="AK123" s="256"/>
      <c r="AL123" s="258"/>
      <c r="AM123" s="258"/>
      <c r="AN123" s="257"/>
      <c r="AO123"/>
    </row>
    <row r="124" spans="2:41" s="299" customFormat="1" ht="12.75">
      <c r="B124"/>
      <c r="C124"/>
      <c r="D124"/>
      <c r="E124"/>
      <c r="F124"/>
      <c r="G124"/>
      <c r="H124"/>
      <c r="I124" s="393">
        <v>2.8877695208274106</v>
      </c>
      <c r="J124" s="289"/>
      <c r="K124" s="213"/>
      <c r="L124" s="152"/>
      <c r="M124"/>
      <c r="N124"/>
      <c r="O124"/>
      <c r="P124"/>
      <c r="Q124"/>
      <c r="R124"/>
      <c r="S124"/>
      <c r="T124" s="256"/>
      <c r="U124" s="256"/>
      <c r="V124" s="258"/>
      <c r="W124" s="258"/>
      <c r="X124" s="257"/>
      <c r="Y124"/>
      <c r="AF124"/>
      <c r="AG124"/>
      <c r="AH124"/>
      <c r="AI124"/>
      <c r="AJ124" s="256"/>
      <c r="AK124" s="256"/>
      <c r="AL124" s="258"/>
      <c r="AM124" s="258"/>
      <c r="AN124" s="257"/>
      <c r="AO124"/>
    </row>
    <row r="125" spans="2:41" s="299" customFormat="1" ht="12.75">
      <c r="B125" s="233" t="s">
        <v>84</v>
      </c>
      <c r="C125" s="210"/>
      <c r="D125"/>
      <c r="E125"/>
      <c r="F125"/>
      <c r="G125"/>
      <c r="H125"/>
      <c r="I125"/>
      <c r="J125"/>
      <c r="K125" s="394"/>
      <c r="L125" s="289"/>
      <c r="M125" s="213"/>
      <c r="N125" s="152"/>
      <c r="O125"/>
      <c r="P125"/>
      <c r="Q125"/>
      <c r="R125"/>
      <c r="S125"/>
      <c r="T125" s="256"/>
      <c r="U125" s="256"/>
      <c r="V125" s="258"/>
      <c r="W125" s="258"/>
      <c r="X125" s="257"/>
      <c r="Y125"/>
      <c r="AF125"/>
      <c r="AG125"/>
      <c r="AH125"/>
      <c r="AI125"/>
      <c r="AJ125" s="256"/>
      <c r="AK125" s="256"/>
      <c r="AL125" s="258"/>
      <c r="AM125" s="258"/>
      <c r="AN125" s="257"/>
      <c r="AO125"/>
    </row>
    <row r="126" spans="2:41" s="299" customFormat="1" ht="12.75">
      <c r="B126" s="482" t="s">
        <v>80</v>
      </c>
      <c r="C126" s="483"/>
      <c r="D126" s="484"/>
      <c r="E126" s="357" t="s">
        <v>98</v>
      </c>
      <c r="F126" s="186" t="s">
        <v>174</v>
      </c>
      <c r="G126" s="65" t="s">
        <v>170</v>
      </c>
      <c r="H126" s="186" t="s">
        <v>175</v>
      </c>
      <c r="I126" s="64" t="s">
        <v>176</v>
      </c>
      <c r="J126" s="65" t="s">
        <v>177</v>
      </c>
      <c r="K126" s="62" t="s">
        <v>198</v>
      </c>
      <c r="Q126"/>
      <c r="R126"/>
      <c r="S126"/>
      <c r="T126" s="256"/>
      <c r="U126" s="256"/>
      <c r="V126" s="258"/>
      <c r="W126" s="258"/>
      <c r="X126" s="257"/>
      <c r="Y126"/>
      <c r="AF126"/>
      <c r="AG126"/>
      <c r="AH126"/>
      <c r="AI126"/>
      <c r="AJ126" s="256"/>
      <c r="AK126" s="256"/>
      <c r="AL126" s="258"/>
      <c r="AM126" s="258"/>
      <c r="AN126" s="257"/>
      <c r="AO126"/>
    </row>
    <row r="127" spans="2:41" s="299" customFormat="1" ht="12.75">
      <c r="B127" s="316">
        <v>7</v>
      </c>
      <c r="C127" s="485" t="s">
        <v>86</v>
      </c>
      <c r="D127" s="486"/>
      <c r="E127" s="358">
        <v>19</v>
      </c>
      <c r="F127" s="332">
        <v>380</v>
      </c>
      <c r="G127" s="339">
        <v>72.2</v>
      </c>
      <c r="H127" s="335">
        <v>519840</v>
      </c>
      <c r="I127" s="231"/>
      <c r="J127" s="347">
        <v>519840</v>
      </c>
      <c r="K127" s="343"/>
      <c r="Q127"/>
      <c r="R127"/>
      <c r="S127"/>
      <c r="T127" s="256"/>
      <c r="U127" s="256"/>
      <c r="V127" s="258"/>
      <c r="W127" s="258"/>
      <c r="X127" s="257"/>
      <c r="Y127"/>
      <c r="AF127"/>
      <c r="AG127"/>
      <c r="AH127"/>
      <c r="AI127"/>
      <c r="AJ127" s="256"/>
      <c r="AK127" s="256"/>
      <c r="AL127" s="258"/>
      <c r="AM127" s="258"/>
      <c r="AN127" s="257"/>
      <c r="AO127"/>
    </row>
    <row r="128" spans="2:41" s="299" customFormat="1" ht="12.75">
      <c r="B128" s="309">
        <v>5</v>
      </c>
      <c r="C128" s="487" t="s">
        <v>167</v>
      </c>
      <c r="D128" s="488"/>
      <c r="E128" s="359">
        <v>10</v>
      </c>
      <c r="F128" s="333">
        <v>43</v>
      </c>
      <c r="G128" s="340">
        <v>4.3</v>
      </c>
      <c r="H128" s="336">
        <v>30960</v>
      </c>
      <c r="I128" s="220">
        <v>4300</v>
      </c>
      <c r="J128" s="166">
        <v>35260</v>
      </c>
      <c r="K128" s="354">
        <v>50</v>
      </c>
      <c r="Q128"/>
      <c r="R128"/>
      <c r="S128"/>
      <c r="T128" s="256"/>
      <c r="U128" s="256"/>
      <c r="V128" s="258"/>
      <c r="W128" s="258"/>
      <c r="X128" s="257"/>
      <c r="Y128"/>
      <c r="AF128"/>
      <c r="AG128"/>
      <c r="AH128"/>
      <c r="AI128"/>
      <c r="AJ128" s="256"/>
      <c r="AK128" s="256"/>
      <c r="AL128" s="258"/>
      <c r="AM128" s="258"/>
      <c r="AN128" s="257"/>
      <c r="AO128"/>
    </row>
    <row r="129" spans="2:41" s="299" customFormat="1" ht="12.75">
      <c r="B129" s="309">
        <v>6</v>
      </c>
      <c r="C129" s="487" t="s">
        <v>85</v>
      </c>
      <c r="D129" s="488"/>
      <c r="E129" s="359"/>
      <c r="F129" s="333">
        <v>95</v>
      </c>
      <c r="G129" s="340">
        <v>0</v>
      </c>
      <c r="H129" s="336">
        <v>0</v>
      </c>
      <c r="I129" s="220">
        <v>54720</v>
      </c>
      <c r="J129" s="166">
        <v>54720</v>
      </c>
      <c r="K129" s="344" t="s">
        <v>194</v>
      </c>
      <c r="Q129"/>
      <c r="R129"/>
      <c r="S129"/>
      <c r="T129" s="256"/>
      <c r="U129" s="256"/>
      <c r="V129" s="258"/>
      <c r="W129" s="258"/>
      <c r="X129" s="257"/>
      <c r="Y129"/>
      <c r="AF129"/>
      <c r="AG129"/>
      <c r="AH129"/>
      <c r="AI129"/>
      <c r="AJ129" s="256"/>
      <c r="AK129" s="256"/>
      <c r="AL129" s="258"/>
      <c r="AM129" s="258"/>
      <c r="AN129" s="257"/>
      <c r="AO129"/>
    </row>
    <row r="130" spans="2:41" s="299" customFormat="1" ht="12.75">
      <c r="B130" s="309">
        <v>3</v>
      </c>
      <c r="C130" s="487" t="s">
        <v>83</v>
      </c>
      <c r="D130" s="488"/>
      <c r="E130" s="359">
        <v>0</v>
      </c>
      <c r="F130" s="333">
        <v>26</v>
      </c>
      <c r="G130" s="340">
        <v>0</v>
      </c>
      <c r="H130" s="336">
        <v>0</v>
      </c>
      <c r="I130" s="220">
        <v>33716.8</v>
      </c>
      <c r="J130" s="166">
        <v>33716.8</v>
      </c>
      <c r="K130" s="344" t="s">
        <v>195</v>
      </c>
      <c r="Q130"/>
      <c r="R130"/>
      <c r="S130"/>
      <c r="T130" s="256"/>
      <c r="U130" s="256"/>
      <c r="V130" s="258"/>
      <c r="W130" s="258"/>
      <c r="X130" s="257"/>
      <c r="Y130"/>
      <c r="AF130"/>
      <c r="AG130"/>
      <c r="AH130"/>
      <c r="AI130"/>
      <c r="AJ130" s="256"/>
      <c r="AK130" s="256"/>
      <c r="AL130" s="258"/>
      <c r="AM130" s="258"/>
      <c r="AN130" s="257"/>
      <c r="AO130"/>
    </row>
    <row r="131" spans="2:41" s="299" customFormat="1" ht="12.75">
      <c r="B131" s="353">
        <v>8</v>
      </c>
      <c r="C131" s="480" t="s">
        <v>165</v>
      </c>
      <c r="D131" s="481"/>
      <c r="E131" s="360"/>
      <c r="F131" s="356">
        <v>1.6</v>
      </c>
      <c r="G131" s="341">
        <v>0</v>
      </c>
      <c r="H131" s="337">
        <v>0</v>
      </c>
      <c r="I131" s="221">
        <v>7680</v>
      </c>
      <c r="J131" s="169">
        <v>7680</v>
      </c>
      <c r="K131" s="355" t="s">
        <v>194</v>
      </c>
      <c r="Q131"/>
      <c r="R131"/>
      <c r="S131"/>
      <c r="T131" s="256"/>
      <c r="U131" s="256"/>
      <c r="V131" s="258"/>
      <c r="W131" s="258"/>
      <c r="X131" s="257"/>
      <c r="Y131"/>
      <c r="AF131"/>
      <c r="AG131"/>
      <c r="AH131"/>
      <c r="AI131"/>
      <c r="AJ131" s="256"/>
      <c r="AK131" s="256"/>
      <c r="AL131" s="258"/>
      <c r="AM131" s="258"/>
      <c r="AN131" s="257"/>
      <c r="AO131"/>
    </row>
    <row r="132" spans="2:41" s="299" customFormat="1" ht="12.75">
      <c r="B132" s="349"/>
      <c r="C132" s="350"/>
      <c r="D132" s="351"/>
      <c r="E132" s="361"/>
      <c r="F132" s="334" t="s">
        <v>101</v>
      </c>
      <c r="G132" s="342">
        <v>76.5</v>
      </c>
      <c r="H132" s="338">
        <v>550800</v>
      </c>
      <c r="I132" s="321">
        <v>100416.8</v>
      </c>
      <c r="J132" s="348">
        <v>651216.8</v>
      </c>
      <c r="K132" s="346"/>
      <c r="Q132"/>
      <c r="R132"/>
      <c r="S132"/>
      <c r="T132" s="256"/>
      <c r="U132" s="256"/>
      <c r="V132" s="258"/>
      <c r="W132" s="258"/>
      <c r="X132" s="257"/>
      <c r="Y132"/>
      <c r="AF132"/>
      <c r="AG132"/>
      <c r="AH132"/>
      <c r="AI132"/>
      <c r="AJ132" s="256"/>
      <c r="AK132" s="256"/>
      <c r="AL132" s="258"/>
      <c r="AM132" s="258"/>
      <c r="AN132" s="257"/>
      <c r="AO132"/>
    </row>
    <row r="133" spans="2:41" s="299" customFormat="1" ht="12.75">
      <c r="B133"/>
      <c r="C133"/>
      <c r="D133"/>
      <c r="E133"/>
      <c r="F133" s="256"/>
      <c r="G133" s="256"/>
      <c r="H133" s="258">
        <v>0.845801275397072</v>
      </c>
      <c r="I133" s="258">
        <v>0.1541987246029279</v>
      </c>
      <c r="J133" s="257"/>
      <c r="K133"/>
      <c r="Q133"/>
      <c r="R133"/>
      <c r="S133"/>
      <c r="T133" s="256"/>
      <c r="U133" s="256"/>
      <c r="V133" s="258"/>
      <c r="W133" s="258"/>
      <c r="X133" s="257"/>
      <c r="Y133"/>
      <c r="AF133"/>
      <c r="AG133"/>
      <c r="AH133"/>
      <c r="AI133"/>
      <c r="AJ133" s="256"/>
      <c r="AK133" s="256"/>
      <c r="AL133" s="258"/>
      <c r="AM133" s="258"/>
      <c r="AN133" s="257"/>
      <c r="AO133"/>
    </row>
    <row r="134" spans="2:41" s="299" customFormat="1" ht="12.75">
      <c r="B134" s="233" t="s">
        <v>116</v>
      </c>
      <c r="C134"/>
      <c r="D134"/>
      <c r="E134"/>
      <c r="F134"/>
      <c r="G134"/>
      <c r="H134" s="258"/>
      <c r="I134" s="258"/>
      <c r="J134" s="257"/>
      <c r="K134"/>
      <c r="Q134"/>
      <c r="R134"/>
      <c r="S134"/>
      <c r="T134" s="256"/>
      <c r="U134" s="256"/>
      <c r="V134" s="258"/>
      <c r="W134" s="258"/>
      <c r="X134" s="257"/>
      <c r="Y134"/>
      <c r="AF134"/>
      <c r="AG134"/>
      <c r="AH134"/>
      <c r="AI134"/>
      <c r="AJ134" s="256"/>
      <c r="AK134" s="256"/>
      <c r="AL134" s="258"/>
      <c r="AM134" s="258"/>
      <c r="AN134" s="257"/>
      <c r="AO134"/>
    </row>
    <row r="135" ht="6" customHeight="1"/>
    <row r="136" spans="2:41" s="299" customFormat="1" ht="12.75">
      <c r="B136" t="s">
        <v>74</v>
      </c>
      <c r="C136"/>
      <c r="D136" s="154" t="s">
        <v>117</v>
      </c>
      <c r="E136" s="158" t="s">
        <v>119</v>
      </c>
      <c r="F136" s="490">
        <v>2.8</v>
      </c>
      <c r="G136" s="490"/>
      <c r="H136" s="258"/>
      <c r="I136" s="258"/>
      <c r="J136" s="257"/>
      <c r="K136"/>
      <c r="Q136"/>
      <c r="R136"/>
      <c r="S136"/>
      <c r="T136" s="256"/>
      <c r="U136" s="256"/>
      <c r="V136" s="258"/>
      <c r="W136" s="258"/>
      <c r="X136" s="257"/>
      <c r="Y136"/>
      <c r="AF136"/>
      <c r="AG136"/>
      <c r="AH136"/>
      <c r="AI136"/>
      <c r="AJ136" s="256"/>
      <c r="AK136" s="256"/>
      <c r="AL136" s="258"/>
      <c r="AM136" s="258"/>
      <c r="AN136" s="257"/>
      <c r="AO136"/>
    </row>
    <row r="137" spans="2:41" s="299" customFormat="1" ht="12.75">
      <c r="B137" s="395" t="s">
        <v>118</v>
      </c>
      <c r="C137" s="395"/>
      <c r="D137" s="396">
        <v>15</v>
      </c>
      <c r="E137" s="158" t="s">
        <v>119</v>
      </c>
      <c r="F137" s="490">
        <v>14</v>
      </c>
      <c r="G137" s="490"/>
      <c r="H137" s="258"/>
      <c r="I137" s="258"/>
      <c r="J137" s="257"/>
      <c r="K137"/>
      <c r="Q137"/>
      <c r="R137"/>
      <c r="S137"/>
      <c r="T137" s="256"/>
      <c r="U137" s="256"/>
      <c r="V137" s="258"/>
      <c r="W137" s="258"/>
      <c r="X137" s="257"/>
      <c r="Y137"/>
      <c r="AF137"/>
      <c r="AG137"/>
      <c r="AH137"/>
      <c r="AI137"/>
      <c r="AJ137" s="256"/>
      <c r="AK137" s="256"/>
      <c r="AL137" s="258"/>
      <c r="AM137" s="258"/>
      <c r="AN137" s="257"/>
      <c r="AO137"/>
    </row>
    <row r="138" spans="2:41" s="299" customFormat="1" ht="12.75">
      <c r="B138" t="s">
        <v>142</v>
      </c>
      <c r="C138"/>
      <c r="D138"/>
      <c r="E138" s="148" t="s">
        <v>144</v>
      </c>
      <c r="F138" s="489">
        <v>45</v>
      </c>
      <c r="G138" s="489"/>
      <c r="H138" s="258"/>
      <c r="I138" s="258"/>
      <c r="J138" s="257"/>
      <c r="K138"/>
      <c r="Q138"/>
      <c r="R138"/>
      <c r="S138"/>
      <c r="T138" s="256"/>
      <c r="U138" s="256"/>
      <c r="V138" s="258"/>
      <c r="W138" s="258"/>
      <c r="X138" s="257"/>
      <c r="Y138"/>
      <c r="AF138"/>
      <c r="AG138"/>
      <c r="AH138"/>
      <c r="AI138"/>
      <c r="AJ138" s="256"/>
      <c r="AK138" s="256"/>
      <c r="AL138" s="258"/>
      <c r="AM138" s="258"/>
      <c r="AN138" s="257"/>
      <c r="AO138"/>
    </row>
    <row r="139" spans="2:41" s="299" customFormat="1" ht="12.75">
      <c r="B139" t="s">
        <v>143</v>
      </c>
      <c r="C139"/>
      <c r="D139"/>
      <c r="E139" s="148" t="s">
        <v>145</v>
      </c>
      <c r="F139" s="489">
        <v>22.5</v>
      </c>
      <c r="G139" s="489"/>
      <c r="H139" s="258"/>
      <c r="I139" s="258"/>
      <c r="J139" s="257"/>
      <c r="K139"/>
      <c r="Q139"/>
      <c r="R139"/>
      <c r="S139"/>
      <c r="T139" s="256"/>
      <c r="U139" s="256"/>
      <c r="V139" s="258"/>
      <c r="W139" s="258"/>
      <c r="X139" s="257"/>
      <c r="Y139"/>
      <c r="AF139"/>
      <c r="AG139"/>
      <c r="AH139"/>
      <c r="AI139"/>
      <c r="AJ139" s="256"/>
      <c r="AK139" s="256"/>
      <c r="AL139" s="258"/>
      <c r="AM139" s="258"/>
      <c r="AN139" s="257"/>
      <c r="AO139"/>
    </row>
    <row r="140" spans="2:41" s="299" customFormat="1" ht="12.75">
      <c r="B140"/>
      <c r="C140"/>
      <c r="D140"/>
      <c r="E140"/>
      <c r="F140" s="256"/>
      <c r="G140" s="256"/>
      <c r="H140" s="258"/>
      <c r="I140" s="258"/>
      <c r="J140" s="257"/>
      <c r="K140"/>
      <c r="Q140"/>
      <c r="R140"/>
      <c r="S140"/>
      <c r="T140" s="256"/>
      <c r="U140" s="256"/>
      <c r="V140" s="258"/>
      <c r="W140" s="258"/>
      <c r="X140" s="257"/>
      <c r="Y140"/>
      <c r="AF140"/>
      <c r="AG140"/>
      <c r="AH140"/>
      <c r="AI140"/>
      <c r="AJ140" s="256"/>
      <c r="AK140" s="256"/>
      <c r="AL140" s="258"/>
      <c r="AM140" s="258"/>
      <c r="AN140" s="257"/>
      <c r="AO140"/>
    </row>
    <row r="141" spans="2:41" s="299" customFormat="1" ht="12.75">
      <c r="B141" s="233" t="s">
        <v>158</v>
      </c>
      <c r="C141"/>
      <c r="D141"/>
      <c r="E141"/>
      <c r="F141"/>
      <c r="G141"/>
      <c r="H141" s="308" t="s">
        <v>147</v>
      </c>
      <c r="I141" s="306">
        <v>18</v>
      </c>
      <c r="J141"/>
      <c r="Q141"/>
      <c r="R141"/>
      <c r="S141"/>
      <c r="T141" s="256"/>
      <c r="U141" s="256"/>
      <c r="V141" s="258"/>
      <c r="W141" s="258"/>
      <c r="X141" s="257"/>
      <c r="Y141"/>
      <c r="AF141"/>
      <c r="AG141"/>
      <c r="AH141"/>
      <c r="AI141"/>
      <c r="AJ141" s="256"/>
      <c r="AK141" s="256"/>
      <c r="AL141" s="258"/>
      <c r="AM141" s="258"/>
      <c r="AN141" s="257"/>
      <c r="AO141"/>
    </row>
    <row r="142" ht="6" customHeight="1"/>
    <row r="143" spans="2:41" s="299" customFormat="1" ht="12.75">
      <c r="B143" s="225" t="s">
        <v>128</v>
      </c>
      <c r="C143" s="227" t="s">
        <v>148</v>
      </c>
      <c r="D143" s="367" t="s">
        <v>150</v>
      </c>
      <c r="E143" s="227" t="s">
        <v>151</v>
      </c>
      <c r="F143" s="367" t="s">
        <v>152</v>
      </c>
      <c r="G143" s="226" t="s">
        <v>151</v>
      </c>
      <c r="H143" s="227" t="s">
        <v>148</v>
      </c>
      <c r="I143" s="307" t="s">
        <v>157</v>
      </c>
      <c r="J143"/>
      <c r="Q143"/>
      <c r="R143"/>
      <c r="S143"/>
      <c r="T143" s="256"/>
      <c r="U143" s="256"/>
      <c r="V143" s="258"/>
      <c r="W143" s="258"/>
      <c r="X143" s="257"/>
      <c r="Y143"/>
      <c r="AF143"/>
      <c r="AG143"/>
      <c r="AH143"/>
      <c r="AI143"/>
      <c r="AJ143" s="256"/>
      <c r="AK143" s="256"/>
      <c r="AL143" s="258"/>
      <c r="AM143" s="258"/>
      <c r="AN143" s="257"/>
      <c r="AO143"/>
    </row>
    <row r="144" spans="2:41" s="299" customFormat="1" ht="12.75">
      <c r="B144" s="228" t="s">
        <v>154</v>
      </c>
      <c r="C144" s="230" t="s">
        <v>155</v>
      </c>
      <c r="D144" s="368" t="s">
        <v>129</v>
      </c>
      <c r="E144" s="376" t="s">
        <v>136</v>
      </c>
      <c r="F144" s="368" t="s">
        <v>137</v>
      </c>
      <c r="G144" s="229" t="s">
        <v>141</v>
      </c>
      <c r="H144" s="230" t="s">
        <v>155</v>
      </c>
      <c r="I144" s="362" t="s">
        <v>153</v>
      </c>
      <c r="J144"/>
      <c r="Q144"/>
      <c r="R144"/>
      <c r="S144"/>
      <c r="T144" s="256"/>
      <c r="U144" s="256"/>
      <c r="V144" s="258"/>
      <c r="W144" s="258"/>
      <c r="X144" s="257"/>
      <c r="Y144"/>
      <c r="AF144"/>
      <c r="AG144"/>
      <c r="AH144"/>
      <c r="AI144"/>
      <c r="AJ144" s="256"/>
      <c r="AK144" s="256"/>
      <c r="AL144" s="258"/>
      <c r="AM144" s="258"/>
      <c r="AN144" s="257"/>
      <c r="AO144"/>
    </row>
    <row r="145" spans="2:41" s="299" customFormat="1" ht="12.75">
      <c r="B145" s="222" t="s">
        <v>126</v>
      </c>
      <c r="C145" s="224"/>
      <c r="D145" s="397"/>
      <c r="E145" s="398"/>
      <c r="F145" s="397"/>
      <c r="G145" s="399"/>
      <c r="H145" s="401"/>
      <c r="I145" s="343"/>
      <c r="J145"/>
      <c r="Q145"/>
      <c r="R145"/>
      <c r="S145"/>
      <c r="T145" s="256"/>
      <c r="U145" s="256"/>
      <c r="V145" s="258"/>
      <c r="W145" s="258"/>
      <c r="X145" s="257"/>
      <c r="Y145"/>
      <c r="AF145"/>
      <c r="AG145"/>
      <c r="AH145"/>
      <c r="AI145"/>
      <c r="AJ145" s="256"/>
      <c r="AK145" s="256"/>
      <c r="AL145" s="258"/>
      <c r="AM145" s="258"/>
      <c r="AN145" s="257"/>
      <c r="AO145"/>
    </row>
    <row r="146" spans="2:41" s="299" customFormat="1" ht="12.75">
      <c r="B146" s="165">
        <v>12000</v>
      </c>
      <c r="C146" s="166">
        <v>40.50155106215105</v>
      </c>
      <c r="D146" s="384">
        <v>15.072145039097533</v>
      </c>
      <c r="E146" s="378">
        <v>1.1942560234994777</v>
      </c>
      <c r="F146" s="374">
        <v>19.6023889263566</v>
      </c>
      <c r="G146" s="292">
        <v>0.43560864280792444</v>
      </c>
      <c r="H146" s="32" t="s">
        <v>201</v>
      </c>
      <c r="I146" s="391">
        <v>0</v>
      </c>
      <c r="J146" s="213"/>
      <c r="Q146"/>
      <c r="R146"/>
      <c r="S146"/>
      <c r="T146" s="256"/>
      <c r="U146" s="256"/>
      <c r="V146" s="258"/>
      <c r="W146" s="258"/>
      <c r="X146" s="257"/>
      <c r="Y146"/>
      <c r="AF146"/>
      <c r="AG146"/>
      <c r="AH146"/>
      <c r="AI146"/>
      <c r="AJ146" s="256"/>
      <c r="AK146" s="256"/>
      <c r="AL146" s="258"/>
      <c r="AM146" s="258"/>
      <c r="AN146" s="257"/>
      <c r="AO146"/>
    </row>
    <row r="147" spans="2:41" s="299" customFormat="1" ht="12.75">
      <c r="B147" s="165">
        <v>13000</v>
      </c>
      <c r="C147" s="166">
        <v>212.46815272122893</v>
      </c>
      <c r="D147" s="384">
        <v>15.757355347052524</v>
      </c>
      <c r="E147" s="378">
        <v>1.1423236706638702</v>
      </c>
      <c r="F147" s="374">
        <v>20.83836580648631</v>
      </c>
      <c r="G147" s="292">
        <v>0.46307479569969573</v>
      </c>
      <c r="H147" s="32" t="s">
        <v>201</v>
      </c>
      <c r="I147" s="391">
        <v>0</v>
      </c>
      <c r="J147" s="213"/>
      <c r="K147"/>
      <c r="L147"/>
      <c r="M147"/>
      <c r="N147" s="148"/>
      <c r="O147" s="201"/>
      <c r="P147" s="201"/>
      <c r="Q147"/>
      <c r="R147"/>
      <c r="S147"/>
      <c r="T147" s="256"/>
      <c r="U147" s="256"/>
      <c r="V147" s="258"/>
      <c r="W147" s="258"/>
      <c r="X147" s="257"/>
      <c r="Y147"/>
      <c r="AF147"/>
      <c r="AG147"/>
      <c r="AH147"/>
      <c r="AI147"/>
      <c r="AJ147" s="256"/>
      <c r="AK147" s="256"/>
      <c r="AL147" s="258"/>
      <c r="AM147" s="258"/>
      <c r="AN147" s="257"/>
      <c r="AO147"/>
    </row>
    <row r="148" spans="2:35" s="299" customFormat="1" ht="12.75">
      <c r="B148" s="165">
        <v>14000</v>
      </c>
      <c r="C148" s="166">
        <v>695.224693948747</v>
      </c>
      <c r="D148" s="384">
        <v>16.419502324715587</v>
      </c>
      <c r="E148" s="378">
        <v>1.0962573434948364</v>
      </c>
      <c r="F148" s="374">
        <v>22.052073371980196</v>
      </c>
      <c r="G148" s="292">
        <v>0.49004607493289326</v>
      </c>
      <c r="H148" s="32" t="s">
        <v>201</v>
      </c>
      <c r="I148" s="391">
        <v>0</v>
      </c>
      <c r="J148" s="213"/>
      <c r="K148"/>
      <c r="L148"/>
      <c r="M148"/>
      <c r="N148" s="256"/>
      <c r="O148" s="256"/>
      <c r="P148" s="258"/>
      <c r="Q148" s="258"/>
      <c r="R148" s="257"/>
      <c r="S148"/>
      <c r="Z148"/>
      <c r="AA148"/>
      <c r="AB148"/>
      <c r="AC148"/>
      <c r="AD148" s="256"/>
      <c r="AE148" s="256"/>
      <c r="AF148" s="258"/>
      <c r="AG148" s="258"/>
      <c r="AH148" s="257"/>
      <c r="AI148"/>
    </row>
    <row r="149" spans="2:35" s="299" customFormat="1" ht="12.75">
      <c r="B149" s="165">
        <v>15000</v>
      </c>
      <c r="C149" s="166">
        <v>0</v>
      </c>
      <c r="D149" s="384">
        <v>17.06093240478071</v>
      </c>
      <c r="E149" s="378">
        <v>1.0550419855690976</v>
      </c>
      <c r="F149" s="374">
        <v>23.245464787629114</v>
      </c>
      <c r="G149" s="292">
        <v>0.5165658841695359</v>
      </c>
      <c r="H149" s="32">
        <v>346.782</v>
      </c>
      <c r="I149" s="391">
        <v>0</v>
      </c>
      <c r="J149" s="213"/>
      <c r="K149"/>
      <c r="L149"/>
      <c r="M149"/>
      <c r="N149" s="256"/>
      <c r="O149" s="256"/>
      <c r="P149" s="258"/>
      <c r="Q149" s="258"/>
      <c r="R149" s="257"/>
      <c r="S149"/>
      <c r="Z149"/>
      <c r="AA149"/>
      <c r="AB149"/>
      <c r="AC149"/>
      <c r="AD149" s="256"/>
      <c r="AE149" s="256"/>
      <c r="AF149" s="258"/>
      <c r="AG149" s="258"/>
      <c r="AH149" s="257"/>
      <c r="AI149"/>
    </row>
    <row r="150" spans="2:35" s="299" customFormat="1" ht="12.75">
      <c r="B150" s="168">
        <v>16000</v>
      </c>
      <c r="C150" s="169">
        <v>0</v>
      </c>
      <c r="D150" s="402">
        <v>17.683614408628216</v>
      </c>
      <c r="E150" s="379">
        <v>1.0178914549967462</v>
      </c>
      <c r="F150" s="375">
        <v>24.420203672370803</v>
      </c>
      <c r="G150" s="293">
        <v>0.5426711927193512</v>
      </c>
      <c r="H150" s="38">
        <v>166.681</v>
      </c>
      <c r="I150" s="392">
        <v>0</v>
      </c>
      <c r="J150" s="213"/>
      <c r="K150"/>
      <c r="L150"/>
      <c r="M150"/>
      <c r="N150" s="256"/>
      <c r="O150" s="256"/>
      <c r="P150" s="258"/>
      <c r="Q150" s="258"/>
      <c r="R150" s="257"/>
      <c r="S150"/>
      <c r="Z150"/>
      <c r="AA150"/>
      <c r="AB150"/>
      <c r="AC150"/>
      <c r="AD150" s="256"/>
      <c r="AE150" s="256"/>
      <c r="AF150" s="258"/>
      <c r="AG150" s="258"/>
      <c r="AH150" s="257"/>
      <c r="AI150"/>
    </row>
    <row r="151" spans="2:35" s="299" customFormat="1" ht="12.75">
      <c r="B151" s="222" t="s">
        <v>138</v>
      </c>
      <c r="C151" s="224"/>
      <c r="D151" s="397"/>
      <c r="E151" s="398"/>
      <c r="F151" s="397"/>
      <c r="G151" s="399"/>
      <c r="H151" s="400"/>
      <c r="I151" s="343"/>
      <c r="J151" s="219"/>
      <c r="K151"/>
      <c r="L151"/>
      <c r="M151"/>
      <c r="N151" s="256"/>
      <c r="O151" s="256"/>
      <c r="P151" s="258"/>
      <c r="Q151" s="258"/>
      <c r="R151" s="257"/>
      <c r="S151"/>
      <c r="Z151"/>
      <c r="AA151"/>
      <c r="AB151"/>
      <c r="AC151"/>
      <c r="AD151" s="256"/>
      <c r="AE151" s="256"/>
      <c r="AF151" s="258"/>
      <c r="AG151" s="258"/>
      <c r="AH151" s="257"/>
      <c r="AI151"/>
    </row>
    <row r="152" spans="2:35" s="299" customFormat="1" ht="12.75">
      <c r="B152" s="165">
        <v>15000</v>
      </c>
      <c r="C152" s="166">
        <v>308.7976918611738</v>
      </c>
      <c r="D152" s="384">
        <v>12.071937924106063</v>
      </c>
      <c r="E152" s="378">
        <v>1.4910613451761032</v>
      </c>
      <c r="F152" s="374">
        <v>14.240891549501088</v>
      </c>
      <c r="G152" s="292">
        <v>0.3164642566555797</v>
      </c>
      <c r="H152" s="32" t="s">
        <v>201</v>
      </c>
      <c r="I152" s="391">
        <v>0</v>
      </c>
      <c r="J152" s="213"/>
      <c r="K152"/>
      <c r="L152"/>
      <c r="M152"/>
      <c r="N152" s="256"/>
      <c r="O152" s="256"/>
      <c r="P152" s="258"/>
      <c r="Q152" s="258"/>
      <c r="R152" s="257"/>
      <c r="S152"/>
      <c r="Z152"/>
      <c r="AA152"/>
      <c r="AB152"/>
      <c r="AC152"/>
      <c r="AD152" s="256"/>
      <c r="AE152" s="256"/>
      <c r="AF152" s="258"/>
      <c r="AG152" s="258"/>
      <c r="AH152" s="257"/>
      <c r="AI152"/>
    </row>
    <row r="153" spans="2:41" s="299" customFormat="1" ht="12.75">
      <c r="B153" s="165">
        <v>16000</v>
      </c>
      <c r="C153" s="166">
        <v>0</v>
      </c>
      <c r="D153" s="384">
        <v>12.558907861112218</v>
      </c>
      <c r="E153" s="378">
        <v>1.4332456451675821</v>
      </c>
      <c r="F153" s="374">
        <v>15.059436462366172</v>
      </c>
      <c r="G153" s="292">
        <v>0.33465414360813717</v>
      </c>
      <c r="H153" s="32" t="s">
        <v>201</v>
      </c>
      <c r="I153" s="391">
        <v>0</v>
      </c>
      <c r="J153" s="213"/>
      <c r="K153" s="152"/>
      <c r="L153"/>
      <c r="M153"/>
      <c r="N153"/>
      <c r="O153"/>
      <c r="P153"/>
      <c r="Q153"/>
      <c r="R153"/>
      <c r="S153"/>
      <c r="T153" s="256"/>
      <c r="U153" s="256"/>
      <c r="V153" s="258"/>
      <c r="W153" s="258"/>
      <c r="X153" s="257"/>
      <c r="Y153"/>
      <c r="AF153"/>
      <c r="AG153"/>
      <c r="AH153"/>
      <c r="AI153"/>
      <c r="AJ153" s="256"/>
      <c r="AK153" s="256"/>
      <c r="AL153" s="258"/>
      <c r="AM153" s="258"/>
      <c r="AN153" s="257"/>
      <c r="AO153"/>
    </row>
    <row r="154" spans="2:41" s="299" customFormat="1" ht="12.75">
      <c r="B154" s="165">
        <v>17000</v>
      </c>
      <c r="C154" s="166">
        <v>0</v>
      </c>
      <c r="D154" s="384">
        <v>13.034224432818116</v>
      </c>
      <c r="E154" s="378">
        <v>1.380979750101498</v>
      </c>
      <c r="F154" s="374">
        <v>15.871147543050665</v>
      </c>
      <c r="G154" s="292">
        <v>0.3526921676233481</v>
      </c>
      <c r="H154" s="32" t="s">
        <v>201</v>
      </c>
      <c r="I154" s="391">
        <v>0</v>
      </c>
      <c r="J154" s="213"/>
      <c r="K154" s="152"/>
      <c r="L154"/>
      <c r="M154"/>
      <c r="N154"/>
      <c r="O154"/>
      <c r="P154"/>
      <c r="Q154"/>
      <c r="R154"/>
      <c r="S154"/>
      <c r="T154" s="256"/>
      <c r="U154" s="256"/>
      <c r="V154" s="258"/>
      <c r="W154" s="258"/>
      <c r="X154" s="257"/>
      <c r="Y154"/>
      <c r="AF154"/>
      <c r="AG154"/>
      <c r="AH154"/>
      <c r="AI154"/>
      <c r="AJ154" s="256"/>
      <c r="AK154" s="256"/>
      <c r="AL154" s="258"/>
      <c r="AM154" s="258"/>
      <c r="AN154" s="257"/>
      <c r="AO154"/>
    </row>
    <row r="155" spans="2:41" s="299" customFormat="1" ht="12.75">
      <c r="B155" s="165">
        <v>18000</v>
      </c>
      <c r="C155" s="166">
        <v>866.2773666133229</v>
      </c>
      <c r="D155" s="384">
        <v>13.49882893943902</v>
      </c>
      <c r="E155" s="378">
        <v>1.333449003669502</v>
      </c>
      <c r="F155" s="374">
        <v>16.6764794140499</v>
      </c>
      <c r="G155" s="292">
        <v>0.37058843142333114</v>
      </c>
      <c r="H155" s="32" t="s">
        <v>201</v>
      </c>
      <c r="I155" s="391">
        <v>0</v>
      </c>
      <c r="J155" s="213"/>
      <c r="K155" s="152"/>
      <c r="L155"/>
      <c r="M155"/>
      <c r="N155"/>
      <c r="O155"/>
      <c r="P155"/>
      <c r="Q155"/>
      <c r="R155"/>
      <c r="S155"/>
      <c r="T155" s="256"/>
      <c r="U155" s="256"/>
      <c r="V155" s="258"/>
      <c r="W155" s="258"/>
      <c r="X155" s="257"/>
      <c r="Y155"/>
      <c r="AF155"/>
      <c r="AG155"/>
      <c r="AH155"/>
      <c r="AI155"/>
      <c r="AJ155" s="256"/>
      <c r="AK155" s="256"/>
      <c r="AL155" s="258"/>
      <c r="AM155" s="258"/>
      <c r="AN155" s="257"/>
      <c r="AO155"/>
    </row>
    <row r="156" spans="2:41" s="299" customFormat="1" ht="12.75">
      <c r="B156" s="165">
        <v>19000</v>
      </c>
      <c r="C156" s="166">
        <v>379.3345005389016</v>
      </c>
      <c r="D156" s="384">
        <v>13.953538987599469</v>
      </c>
      <c r="E156" s="378">
        <v>1.2899953206134034</v>
      </c>
      <c r="F156" s="374">
        <v>17.475832912942725</v>
      </c>
      <c r="G156" s="292">
        <v>0.38835184250983834</v>
      </c>
      <c r="H156" s="32" t="s">
        <v>201</v>
      </c>
      <c r="I156" s="391">
        <v>0</v>
      </c>
      <c r="J156" s="213"/>
      <c r="K156" s="152"/>
      <c r="L156"/>
      <c r="M156"/>
      <c r="N156"/>
      <c r="O156"/>
      <c r="P156"/>
      <c r="Q156"/>
      <c r="R156"/>
      <c r="S156"/>
      <c r="T156" s="256"/>
      <c r="U156" s="256"/>
      <c r="V156" s="258"/>
      <c r="W156" s="258"/>
      <c r="X156" s="257"/>
      <c r="Y156"/>
      <c r="AF156"/>
      <c r="AG156"/>
      <c r="AH156"/>
      <c r="AI156"/>
      <c r="AJ156" s="256"/>
      <c r="AK156" s="256"/>
      <c r="AL156" s="258"/>
      <c r="AM156" s="258"/>
      <c r="AN156" s="257"/>
      <c r="AO156"/>
    </row>
    <row r="157" spans="2:41" s="299" customFormat="1" ht="12.75">
      <c r="B157" s="165">
        <v>20000</v>
      </c>
      <c r="C157" s="166">
        <v>228.70184993493842</v>
      </c>
      <c r="D157" s="384">
        <v>14.399070358054761</v>
      </c>
      <c r="E157" s="378">
        <v>1.2500807032956054</v>
      </c>
      <c r="F157" s="374">
        <v>18.269563950176433</v>
      </c>
      <c r="G157" s="292">
        <v>0.4059903100039207</v>
      </c>
      <c r="H157" s="32" t="s">
        <v>201</v>
      </c>
      <c r="I157" s="391">
        <v>0</v>
      </c>
      <c r="J157" s="213"/>
      <c r="K157" s="152"/>
      <c r="L157"/>
      <c r="M157"/>
      <c r="N157"/>
      <c r="O157"/>
      <c r="P157"/>
      <c r="Q157"/>
      <c r="R157"/>
      <c r="S157"/>
      <c r="T157" s="256"/>
      <c r="U157" s="256"/>
      <c r="V157" s="258"/>
      <c r="W157" s="258"/>
      <c r="X157" s="257"/>
      <c r="Y157"/>
      <c r="AF157"/>
      <c r="AG157"/>
      <c r="AH157"/>
      <c r="AI157"/>
      <c r="AJ157" s="256"/>
      <c r="AK157" s="256"/>
      <c r="AL157" s="258"/>
      <c r="AM157" s="258"/>
      <c r="AN157" s="257"/>
      <c r="AO157"/>
    </row>
    <row r="158" spans="2:41" s="299" customFormat="1" ht="12.75">
      <c r="B158" s="165">
        <v>21000</v>
      </c>
      <c r="C158" s="166">
        <v>0</v>
      </c>
      <c r="D158" s="384">
        <v>14.836054112905288</v>
      </c>
      <c r="E158" s="378">
        <v>1.2132606057524773</v>
      </c>
      <c r="F158" s="374">
        <v>19.05799053796989</v>
      </c>
      <c r="G158" s="292">
        <v>0.4235109008437753</v>
      </c>
      <c r="H158" s="32" t="s">
        <v>201</v>
      </c>
      <c r="I158" s="391">
        <v>0</v>
      </c>
      <c r="J158" s="213"/>
      <c r="K158" s="152"/>
      <c r="L158"/>
      <c r="M158"/>
      <c r="N158"/>
      <c r="O158"/>
      <c r="P158"/>
      <c r="Q158"/>
      <c r="R158"/>
      <c r="S158"/>
      <c r="T158" s="256"/>
      <c r="U158" s="256"/>
      <c r="V158" s="258"/>
      <c r="W158" s="258"/>
      <c r="X158" s="257"/>
      <c r="Y158"/>
      <c r="AF158"/>
      <c r="AG158"/>
      <c r="AH158"/>
      <c r="AI158"/>
      <c r="AJ158" s="256"/>
      <c r="AK158" s="256"/>
      <c r="AL158" s="258"/>
      <c r="AM158" s="258"/>
      <c r="AN158" s="257"/>
      <c r="AO158"/>
    </row>
    <row r="159" spans="2:41" s="299" customFormat="1" ht="12.75">
      <c r="B159" s="165">
        <v>22000</v>
      </c>
      <c r="C159" s="166">
        <v>0</v>
      </c>
      <c r="D159" s="384">
        <v>15.265050155065682</v>
      </c>
      <c r="E159" s="378">
        <v>1.1791641571532425</v>
      </c>
      <c r="F159" s="374">
        <v>19.8413984371385</v>
      </c>
      <c r="G159" s="292">
        <v>0.4409199652697445</v>
      </c>
      <c r="H159" s="32" t="s">
        <v>201</v>
      </c>
      <c r="I159" s="391">
        <v>0</v>
      </c>
      <c r="J159" s="213"/>
      <c r="K159" s="152"/>
      <c r="L159"/>
      <c r="M159"/>
      <c r="N159"/>
      <c r="O159"/>
      <c r="P159"/>
      <c r="Q159"/>
      <c r="R159"/>
      <c r="S159"/>
      <c r="T159" s="256"/>
      <c r="U159" s="256"/>
      <c r="V159" s="258"/>
      <c r="W159" s="258"/>
      <c r="X159" s="257"/>
      <c r="Y159"/>
      <c r="AF159"/>
      <c r="AG159"/>
      <c r="AH159"/>
      <c r="AI159"/>
      <c r="AJ159" s="256"/>
      <c r="AK159" s="256"/>
      <c r="AL159" s="258"/>
      <c r="AM159" s="258"/>
      <c r="AN159" s="257"/>
      <c r="AO159"/>
    </row>
    <row r="160" spans="2:41" s="299" customFormat="1" ht="12.75">
      <c r="B160" s="165">
        <v>23000</v>
      </c>
      <c r="C160" s="166">
        <v>152.88118789468874</v>
      </c>
      <c r="D160" s="384">
        <v>15.686558102888995</v>
      </c>
      <c r="E160" s="378">
        <v>1.1474792546546548</v>
      </c>
      <c r="F160" s="374">
        <v>20.620045744111916</v>
      </c>
      <c r="G160" s="292">
        <v>0.4582232387580426</v>
      </c>
      <c r="H160" s="32" t="s">
        <v>201</v>
      </c>
      <c r="I160" s="391">
        <v>0</v>
      </c>
      <c r="J160" s="213"/>
      <c r="K160" s="152"/>
      <c r="L160"/>
      <c r="M160"/>
      <c r="N160"/>
      <c r="O160"/>
      <c r="P160"/>
      <c r="Q160"/>
      <c r="R160"/>
      <c r="S160"/>
      <c r="T160" s="256"/>
      <c r="U160" s="256"/>
      <c r="V160" s="258"/>
      <c r="W160" s="258"/>
      <c r="X160" s="257"/>
      <c r="Y160"/>
      <c r="AF160"/>
      <c r="AG160"/>
      <c r="AH160"/>
      <c r="AI160"/>
      <c r="AJ160" s="256"/>
      <c r="AK160" s="256"/>
      <c r="AL160" s="258"/>
      <c r="AM160" s="258"/>
      <c r="AN160" s="257"/>
      <c r="AO160"/>
    </row>
    <row r="161" spans="2:41" s="299" customFormat="1" ht="12.75">
      <c r="B161" s="165">
        <v>24000</v>
      </c>
      <c r="C161" s="166">
        <v>344.14016151289053</v>
      </c>
      <c r="D161" s="384">
        <v>16.10102610469822</v>
      </c>
      <c r="E161" s="378">
        <v>1.1179411723795458</v>
      </c>
      <c r="F161" s="374">
        <v>21.3941666545069</v>
      </c>
      <c r="G161" s="292">
        <v>0.4754259256557089</v>
      </c>
      <c r="H161" s="32" t="s">
        <v>201</v>
      </c>
      <c r="I161" s="391">
        <v>0</v>
      </c>
      <c r="J161" s="213"/>
      <c r="K161" s="152"/>
      <c r="L161"/>
      <c r="M161"/>
      <c r="N161"/>
      <c r="O161"/>
      <c r="P161"/>
      <c r="Q161"/>
      <c r="R161"/>
      <c r="S161"/>
      <c r="T161" s="256"/>
      <c r="U161" s="256"/>
      <c r="V161" s="258"/>
      <c r="W161" s="258"/>
      <c r="X161" s="257"/>
      <c r="Y161"/>
      <c r="AF161"/>
      <c r="AG161"/>
      <c r="AH161"/>
      <c r="AI161"/>
      <c r="AJ161" s="256"/>
      <c r="AK161" s="256"/>
      <c r="AL161" s="258"/>
      <c r="AM161" s="258"/>
      <c r="AN161" s="257"/>
      <c r="AO161"/>
    </row>
    <row r="162" spans="2:41" s="299" customFormat="1" ht="12.75">
      <c r="B162" s="165">
        <v>25000</v>
      </c>
      <c r="C162" s="166">
        <v>152.88118789468874</v>
      </c>
      <c r="D162" s="384">
        <v>16.508858052713684</v>
      </c>
      <c r="E162" s="378">
        <v>1.0903237487732353</v>
      </c>
      <c r="F162" s="374">
        <v>22.163974579241557</v>
      </c>
      <c r="G162" s="292">
        <v>0.49253276842759014</v>
      </c>
      <c r="H162" s="32" t="s">
        <v>201</v>
      </c>
      <c r="I162" s="391">
        <v>0</v>
      </c>
      <c r="J162" s="213"/>
      <c r="K162" s="152"/>
      <c r="L162"/>
      <c r="M162"/>
      <c r="N162"/>
      <c r="O162"/>
      <c r="P162"/>
      <c r="Q162"/>
      <c r="R162"/>
      <c r="S162"/>
      <c r="T162" s="256"/>
      <c r="U162" s="256"/>
      <c r="V162" s="258"/>
      <c r="W162" s="258"/>
      <c r="X162" s="257"/>
      <c r="Y162"/>
      <c r="AF162"/>
      <c r="AG162"/>
      <c r="AH162"/>
      <c r="AI162"/>
      <c r="AJ162" s="256"/>
      <c r="AK162" s="256"/>
      <c r="AL162" s="258"/>
      <c r="AM162" s="258"/>
      <c r="AN162" s="257"/>
      <c r="AO162"/>
    </row>
    <row r="163" spans="2:41" s="299" customFormat="1" ht="12.75">
      <c r="B163" s="165">
        <v>26000</v>
      </c>
      <c r="C163" s="166">
        <v>0</v>
      </c>
      <c r="D163" s="384">
        <v>16.91041953916175</v>
      </c>
      <c r="E163" s="378">
        <v>1.0644324913592451</v>
      </c>
      <c r="F163" s="374">
        <v>22.92966474602511</v>
      </c>
      <c r="G163" s="292">
        <v>0.5095481054672247</v>
      </c>
      <c r="H163" s="32">
        <v>422.269</v>
      </c>
      <c r="I163" s="391">
        <v>0</v>
      </c>
      <c r="J163" s="213"/>
      <c r="K163" s="152"/>
      <c r="L163"/>
      <c r="M163"/>
      <c r="N163"/>
      <c r="O163"/>
      <c r="P163"/>
      <c r="Q163"/>
      <c r="R163"/>
      <c r="S163"/>
      <c r="T163" s="256"/>
      <c r="U163" s="256"/>
      <c r="V163" s="258"/>
      <c r="W163" s="258"/>
      <c r="X163" s="257"/>
      <c r="Y163"/>
      <c r="AF163"/>
      <c r="AG163"/>
      <c r="AH163"/>
      <c r="AI163"/>
      <c r="AJ163" s="256"/>
      <c r="AK163" s="256"/>
      <c r="AL163" s="258"/>
      <c r="AM163" s="258"/>
      <c r="AN163" s="257"/>
      <c r="AO163"/>
    </row>
    <row r="164" spans="2:41" s="299" customFormat="1" ht="12.75">
      <c r="B164" s="165">
        <v>27000</v>
      </c>
      <c r="C164" s="166">
        <v>0</v>
      </c>
      <c r="D164" s="384">
        <v>17.306042813623712</v>
      </c>
      <c r="E164" s="378">
        <v>1.0400991257128978</v>
      </c>
      <c r="F164" s="374">
        <v>23.691416387740393</v>
      </c>
      <c r="G164" s="292">
        <v>0.5264759197275642</v>
      </c>
      <c r="H164" s="32">
        <v>262.587</v>
      </c>
      <c r="I164" s="391">
        <v>0</v>
      </c>
      <c r="J164" s="213"/>
      <c r="K164" s="152"/>
      <c r="L164"/>
      <c r="M164"/>
      <c r="N164"/>
      <c r="O164"/>
      <c r="P164"/>
      <c r="Q164"/>
      <c r="R164"/>
      <c r="S164"/>
      <c r="T164" s="256"/>
      <c r="U164" s="256"/>
      <c r="V164" s="258"/>
      <c r="W164" s="258"/>
      <c r="X164" s="257"/>
      <c r="Y164"/>
      <c r="AF164"/>
      <c r="AG164"/>
      <c r="AH164"/>
      <c r="AI164"/>
      <c r="AJ164" s="256"/>
      <c r="AK164" s="256"/>
      <c r="AL164" s="258"/>
      <c r="AM164" s="258"/>
      <c r="AN164" s="257"/>
      <c r="AO164"/>
    </row>
    <row r="165" spans="2:41" s="299" customFormat="1" ht="12.75">
      <c r="B165" s="165">
        <v>28000</v>
      </c>
      <c r="C165" s="166">
        <v>0</v>
      </c>
      <c r="D165" s="384">
        <v>17.69603093974245</v>
      </c>
      <c r="E165" s="378">
        <v>1.0171772450722203</v>
      </c>
      <c r="F165" s="374">
        <v>24.449394596189926</v>
      </c>
      <c r="G165" s="292">
        <v>0.5433198799153317</v>
      </c>
      <c r="H165" s="32">
        <v>163.674</v>
      </c>
      <c r="I165" s="391">
        <v>0</v>
      </c>
      <c r="J165" s="213"/>
      <c r="K165" s="152"/>
      <c r="L165"/>
      <c r="M165"/>
      <c r="N165"/>
      <c r="O165"/>
      <c r="P165"/>
      <c r="Q165"/>
      <c r="R165"/>
      <c r="S165"/>
      <c r="T165" s="256"/>
      <c r="U165" s="256"/>
      <c r="V165" s="258"/>
      <c r="W165" s="258"/>
      <c r="X165" s="257"/>
      <c r="Y165"/>
      <c r="AF165"/>
      <c r="AG165"/>
      <c r="AH165"/>
      <c r="AI165"/>
      <c r="AJ165" s="256"/>
      <c r="AK165" s="256"/>
      <c r="AL165" s="258"/>
      <c r="AM165" s="258"/>
      <c r="AN165" s="257"/>
      <c r="AO165"/>
    </row>
    <row r="166" spans="2:41" s="299" customFormat="1" ht="12.75">
      <c r="B166" s="165">
        <v>29000</v>
      </c>
      <c r="C166" s="166">
        <v>0</v>
      </c>
      <c r="D166" s="384">
        <v>18.080661304457795</v>
      </c>
      <c r="E166" s="378">
        <v>0.9955388078400701</v>
      </c>
      <c r="F166" s="374">
        <v>25.2037519025003</v>
      </c>
      <c r="G166" s="292">
        <v>0.5600833756111178</v>
      </c>
      <c r="H166" s="32">
        <v>102.251</v>
      </c>
      <c r="I166" s="391">
        <v>0</v>
      </c>
      <c r="J166" s="213"/>
      <c r="K166" s="152"/>
      <c r="L166"/>
      <c r="M166"/>
      <c r="N166"/>
      <c r="O166"/>
      <c r="P166"/>
      <c r="Q166"/>
      <c r="R166"/>
      <c r="S166"/>
      <c r="T166" s="256"/>
      <c r="U166" s="256"/>
      <c r="V166" s="258"/>
      <c r="W166" s="258"/>
      <c r="X166" s="257"/>
      <c r="Y166"/>
      <c r="AF166"/>
      <c r="AG166"/>
      <c r="AH166"/>
      <c r="AI166"/>
      <c r="AJ166" s="256"/>
      <c r="AK166" s="256"/>
      <c r="AL166" s="258"/>
      <c r="AM166" s="258"/>
      <c r="AN166" s="257"/>
      <c r="AO166"/>
    </row>
    <row r="167" spans="2:41" s="299" customFormat="1" ht="12.75">
      <c r="B167" s="168">
        <v>30000</v>
      </c>
      <c r="C167" s="169">
        <v>0</v>
      </c>
      <c r="D167" s="385">
        <v>18.460188599384686</v>
      </c>
      <c r="E167" s="379">
        <v>0.9750712948078968</v>
      </c>
      <c r="F167" s="375">
        <v>25.95462963252438</v>
      </c>
      <c r="G167" s="293">
        <v>0.5767695473894306</v>
      </c>
      <c r="H167" s="38">
        <v>64.017</v>
      </c>
      <c r="I167" s="392">
        <v>0</v>
      </c>
      <c r="J167" s="213"/>
      <c r="K167" s="152"/>
      <c r="L167"/>
      <c r="M167"/>
      <c r="N167"/>
      <c r="O167"/>
      <c r="P167"/>
      <c r="Q167"/>
      <c r="R167"/>
      <c r="S167"/>
      <c r="T167" s="256"/>
      <c r="U167" s="256"/>
      <c r="V167" s="258"/>
      <c r="W167" s="258"/>
      <c r="X167" s="257"/>
      <c r="Y167"/>
      <c r="AF167"/>
      <c r="AG167"/>
      <c r="AH167"/>
      <c r="AI167"/>
      <c r="AJ167" s="256"/>
      <c r="AK167" s="256"/>
      <c r="AL167" s="258"/>
      <c r="AM167" s="258"/>
      <c r="AN167" s="257"/>
      <c r="AO167"/>
    </row>
    <row r="168" spans="2:41" s="299" customFormat="1" ht="12.75">
      <c r="B168" s="222" t="s">
        <v>200</v>
      </c>
      <c r="C168" s="224"/>
      <c r="D168" s="397"/>
      <c r="E168" s="398"/>
      <c r="F168" s="397"/>
      <c r="G168" s="399"/>
      <c r="H168" s="400"/>
      <c r="I168" s="343"/>
      <c r="J168" s="213"/>
      <c r="K168" s="152"/>
      <c r="L168"/>
      <c r="M168"/>
      <c r="N168"/>
      <c r="O168"/>
      <c r="P168"/>
      <c r="Q168"/>
      <c r="R168"/>
      <c r="S168"/>
      <c r="T168" s="256"/>
      <c r="U168" s="256"/>
      <c r="V168" s="258"/>
      <c r="W168" s="258"/>
      <c r="X168" s="257"/>
      <c r="Y168"/>
      <c r="AF168"/>
      <c r="AG168"/>
      <c r="AH168"/>
      <c r="AI168"/>
      <c r="AJ168" s="256"/>
      <c r="AK168" s="256"/>
      <c r="AL168" s="258"/>
      <c r="AM168" s="258"/>
      <c r="AN168" s="257"/>
      <c r="AO168"/>
    </row>
    <row r="169" spans="2:41" s="299" customFormat="1" ht="12.75">
      <c r="B169" s="165">
        <v>24000</v>
      </c>
      <c r="C169" s="166">
        <v>81.42340513185171</v>
      </c>
      <c r="D169" s="384"/>
      <c r="E169" s="378"/>
      <c r="F169" s="374">
        <v>14</v>
      </c>
      <c r="G169" s="292">
        <v>0.3111111111111111</v>
      </c>
      <c r="H169" s="32" t="s">
        <v>201</v>
      </c>
      <c r="I169" s="391">
        <v>0</v>
      </c>
      <c r="J169" s="213"/>
      <c r="K169" s="152"/>
      <c r="L169"/>
      <c r="M169"/>
      <c r="N169"/>
      <c r="O169"/>
      <c r="P169"/>
      <c r="Q169"/>
      <c r="R169"/>
      <c r="S169"/>
      <c r="T169" s="256"/>
      <c r="U169" s="256"/>
      <c r="V169" s="258"/>
      <c r="W169" s="258"/>
      <c r="X169" s="257"/>
      <c r="Y169"/>
      <c r="AF169"/>
      <c r="AG169"/>
      <c r="AH169"/>
      <c r="AI169"/>
      <c r="AJ169" s="256"/>
      <c r="AK169" s="256"/>
      <c r="AL169" s="258"/>
      <c r="AM169" s="258"/>
      <c r="AN169" s="257"/>
      <c r="AO169"/>
    </row>
    <row r="170" spans="2:41" s="299" customFormat="1" ht="12.75">
      <c r="B170" s="168">
        <v>32000</v>
      </c>
      <c r="C170" s="169">
        <v>148.0685575758381</v>
      </c>
      <c r="D170" s="385"/>
      <c r="E170" s="379"/>
      <c r="F170" s="375">
        <v>17</v>
      </c>
      <c r="G170" s="293">
        <v>0.37777777777777777</v>
      </c>
      <c r="H170" s="38" t="s">
        <v>201</v>
      </c>
      <c r="I170" s="392">
        <v>0</v>
      </c>
      <c r="J170" s="289"/>
      <c r="K170" s="213"/>
      <c r="L170" s="152"/>
      <c r="M170"/>
      <c r="N170"/>
      <c r="O170"/>
      <c r="P170"/>
      <c r="Q170"/>
      <c r="R170"/>
      <c r="S170"/>
      <c r="T170" s="256"/>
      <c r="U170" s="256"/>
      <c r="V170" s="258"/>
      <c r="W170" s="258"/>
      <c r="X170" s="257"/>
      <c r="Y170"/>
      <c r="AF170"/>
      <c r="AG170"/>
      <c r="AH170"/>
      <c r="AI170"/>
      <c r="AJ170" s="256"/>
      <c r="AK170" s="256"/>
      <c r="AL170" s="258"/>
      <c r="AM170" s="258"/>
      <c r="AN170" s="257"/>
      <c r="AO170"/>
    </row>
    <row r="171" spans="2:41" s="299" customFormat="1" ht="12.75">
      <c r="B171"/>
      <c r="C171"/>
      <c r="D171"/>
      <c r="E171"/>
      <c r="F171"/>
      <c r="G171"/>
      <c r="H171"/>
      <c r="I171" s="393">
        <v>0</v>
      </c>
      <c r="J171" s="289"/>
      <c r="K171" s="213"/>
      <c r="L171" s="152"/>
      <c r="M171"/>
      <c r="N171"/>
      <c r="O171"/>
      <c r="P171"/>
      <c r="Q171"/>
      <c r="R171"/>
      <c r="S171"/>
      <c r="T171" s="256"/>
      <c r="U171" s="256"/>
      <c r="V171" s="258"/>
      <c r="W171" s="258"/>
      <c r="X171" s="257"/>
      <c r="Y171"/>
      <c r="AF171"/>
      <c r="AG171"/>
      <c r="AH171"/>
      <c r="AI171"/>
      <c r="AJ171" s="256"/>
      <c r="AK171" s="256"/>
      <c r="AL171" s="258"/>
      <c r="AM171" s="258"/>
      <c r="AN171" s="257"/>
      <c r="AO171"/>
    </row>
    <row r="172" spans="2:41" s="299" customFormat="1" ht="12.75">
      <c r="B172" s="233" t="s">
        <v>84</v>
      </c>
      <c r="C172" s="210"/>
      <c r="D172"/>
      <c r="E172"/>
      <c r="F172"/>
      <c r="G172"/>
      <c r="H172"/>
      <c r="I172"/>
      <c r="J172"/>
      <c r="K172" s="394"/>
      <c r="L172" s="289"/>
      <c r="M172" s="213"/>
      <c r="N172" s="152"/>
      <c r="O172"/>
      <c r="P172"/>
      <c r="Q172"/>
      <c r="R172"/>
      <c r="S172"/>
      <c r="T172" s="256"/>
      <c r="U172" s="256"/>
      <c r="V172" s="258"/>
      <c r="W172" s="258"/>
      <c r="X172" s="257"/>
      <c r="Y172"/>
      <c r="AF172"/>
      <c r="AG172"/>
      <c r="AH172"/>
      <c r="AI172"/>
      <c r="AJ172" s="256"/>
      <c r="AK172" s="256"/>
      <c r="AL172" s="258"/>
      <c r="AM172" s="258"/>
      <c r="AN172" s="257"/>
      <c r="AO172"/>
    </row>
    <row r="173" spans="2:41" s="299" customFormat="1" ht="12.75">
      <c r="B173" s="482" t="s">
        <v>80</v>
      </c>
      <c r="C173" s="483"/>
      <c r="D173" s="484"/>
      <c r="E173" s="357" t="s">
        <v>98</v>
      </c>
      <c r="F173" s="186" t="s">
        <v>174</v>
      </c>
      <c r="G173" s="65" t="s">
        <v>170</v>
      </c>
      <c r="H173" s="186" t="s">
        <v>175</v>
      </c>
      <c r="I173" s="64" t="s">
        <v>176</v>
      </c>
      <c r="J173" s="65" t="s">
        <v>177</v>
      </c>
      <c r="K173" s="62" t="s">
        <v>198</v>
      </c>
      <c r="Q173"/>
      <c r="R173"/>
      <c r="S173"/>
      <c r="T173" s="256"/>
      <c r="U173" s="256"/>
      <c r="V173" s="258"/>
      <c r="W173" s="258"/>
      <c r="X173" s="257"/>
      <c r="Y173"/>
      <c r="AF173"/>
      <c r="AG173"/>
      <c r="AH173"/>
      <c r="AI173"/>
      <c r="AJ173" s="256"/>
      <c r="AK173" s="256"/>
      <c r="AL173" s="258"/>
      <c r="AM173" s="258"/>
      <c r="AN173" s="257"/>
      <c r="AO173"/>
    </row>
    <row r="174" spans="2:41" s="299" customFormat="1" ht="12.75">
      <c r="B174" s="316">
        <v>7</v>
      </c>
      <c r="C174" s="485" t="s">
        <v>86</v>
      </c>
      <c r="D174" s="486"/>
      <c r="E174" s="358">
        <v>18</v>
      </c>
      <c r="F174" s="332">
        <v>380</v>
      </c>
      <c r="G174" s="339">
        <v>68.4</v>
      </c>
      <c r="H174" s="335">
        <v>492480</v>
      </c>
      <c r="I174" s="231"/>
      <c r="J174" s="347">
        <v>492480</v>
      </c>
      <c r="K174" s="343"/>
      <c r="Q174"/>
      <c r="R174"/>
      <c r="S174"/>
      <c r="T174" s="256"/>
      <c r="U174" s="256"/>
      <c r="V174" s="258"/>
      <c r="W174" s="258"/>
      <c r="X174" s="257"/>
      <c r="Y174"/>
      <c r="AF174"/>
      <c r="AG174"/>
      <c r="AH174"/>
      <c r="AI174"/>
      <c r="AJ174" s="256"/>
      <c r="AK174" s="256"/>
      <c r="AL174" s="258"/>
      <c r="AM174" s="258"/>
      <c r="AN174" s="257"/>
      <c r="AO174"/>
    </row>
    <row r="175" spans="2:41" s="299" customFormat="1" ht="12.75">
      <c r="B175" s="309">
        <v>5</v>
      </c>
      <c r="C175" s="487" t="s">
        <v>167</v>
      </c>
      <c r="D175" s="488"/>
      <c r="E175" s="359">
        <v>15</v>
      </c>
      <c r="F175" s="333">
        <v>43</v>
      </c>
      <c r="G175" s="340">
        <v>6.45</v>
      </c>
      <c r="H175" s="336">
        <v>46440</v>
      </c>
      <c r="I175" s="220">
        <v>6450</v>
      </c>
      <c r="J175" s="166">
        <v>52890</v>
      </c>
      <c r="K175" s="354">
        <v>50</v>
      </c>
      <c r="Q175"/>
      <c r="R175"/>
      <c r="S175"/>
      <c r="T175" s="256"/>
      <c r="U175" s="256"/>
      <c r="V175" s="258"/>
      <c r="W175" s="258"/>
      <c r="X175" s="257"/>
      <c r="Y175"/>
      <c r="AF175"/>
      <c r="AG175"/>
      <c r="AH175"/>
      <c r="AI175"/>
      <c r="AJ175" s="256"/>
      <c r="AK175" s="256"/>
      <c r="AL175" s="258"/>
      <c r="AM175" s="258"/>
      <c r="AN175" s="257"/>
      <c r="AO175"/>
    </row>
    <row r="176" spans="2:41" s="299" customFormat="1" ht="12.75">
      <c r="B176" s="309">
        <v>6</v>
      </c>
      <c r="C176" s="487" t="s">
        <v>85</v>
      </c>
      <c r="D176" s="488"/>
      <c r="E176" s="359"/>
      <c r="F176" s="333">
        <v>95</v>
      </c>
      <c r="G176" s="340">
        <v>0</v>
      </c>
      <c r="H176" s="336">
        <v>0</v>
      </c>
      <c r="I176" s="220">
        <v>54720</v>
      </c>
      <c r="J176" s="166">
        <v>54720</v>
      </c>
      <c r="K176" s="344" t="s">
        <v>194</v>
      </c>
      <c r="Q176"/>
      <c r="R176"/>
      <c r="S176"/>
      <c r="T176" s="256"/>
      <c r="U176" s="256"/>
      <c r="V176" s="258"/>
      <c r="W176" s="258"/>
      <c r="X176" s="257"/>
      <c r="Y176"/>
      <c r="AF176"/>
      <c r="AG176"/>
      <c r="AH176"/>
      <c r="AI176"/>
      <c r="AJ176" s="256"/>
      <c r="AK176" s="256"/>
      <c r="AL176" s="258"/>
      <c r="AM176" s="258"/>
      <c r="AN176" s="257"/>
      <c r="AO176"/>
    </row>
    <row r="177" spans="2:41" s="299" customFormat="1" ht="12.75">
      <c r="B177" s="309">
        <v>3</v>
      </c>
      <c r="C177" s="487" t="s">
        <v>83</v>
      </c>
      <c r="D177" s="488"/>
      <c r="E177" s="359">
        <v>0</v>
      </c>
      <c r="F177" s="333">
        <v>26</v>
      </c>
      <c r="G177" s="340">
        <v>0</v>
      </c>
      <c r="H177" s="336">
        <v>0</v>
      </c>
      <c r="I177" s="220">
        <v>39343.2</v>
      </c>
      <c r="J177" s="166">
        <v>39343.2</v>
      </c>
      <c r="K177" s="344" t="s">
        <v>195</v>
      </c>
      <c r="Q177"/>
      <c r="R177"/>
      <c r="S177"/>
      <c r="T177" s="256"/>
      <c r="U177" s="256"/>
      <c r="V177" s="258"/>
      <c r="W177" s="258"/>
      <c r="X177" s="257"/>
      <c r="Y177"/>
      <c r="AF177"/>
      <c r="AG177"/>
      <c r="AH177"/>
      <c r="AI177"/>
      <c r="AJ177" s="256"/>
      <c r="AK177" s="256"/>
      <c r="AL177" s="258"/>
      <c r="AM177" s="258"/>
      <c r="AN177" s="257"/>
      <c r="AO177"/>
    </row>
    <row r="178" spans="2:41" s="299" customFormat="1" ht="12.75">
      <c r="B178" s="353">
        <v>8</v>
      </c>
      <c r="C178" s="480" t="s">
        <v>165</v>
      </c>
      <c r="D178" s="481"/>
      <c r="E178" s="360"/>
      <c r="F178" s="356">
        <v>1.6</v>
      </c>
      <c r="G178" s="341">
        <v>0</v>
      </c>
      <c r="H178" s="337">
        <v>0</v>
      </c>
      <c r="I178" s="221">
        <v>7680</v>
      </c>
      <c r="J178" s="169">
        <v>7680</v>
      </c>
      <c r="K178" s="355" t="s">
        <v>194</v>
      </c>
      <c r="Q178"/>
      <c r="R178"/>
      <c r="S178"/>
      <c r="T178" s="256"/>
      <c r="U178" s="256"/>
      <c r="V178" s="258"/>
      <c r="W178" s="258"/>
      <c r="X178" s="257"/>
      <c r="Y178"/>
      <c r="AF178"/>
      <c r="AG178"/>
      <c r="AH178"/>
      <c r="AI178"/>
      <c r="AJ178" s="256"/>
      <c r="AK178" s="256"/>
      <c r="AL178" s="258"/>
      <c r="AM178" s="258"/>
      <c r="AN178" s="257"/>
      <c r="AO178"/>
    </row>
    <row r="179" spans="2:41" s="299" customFormat="1" ht="12.75">
      <c r="B179" s="349"/>
      <c r="C179" s="350"/>
      <c r="D179" s="351"/>
      <c r="E179" s="361"/>
      <c r="F179" s="334" t="s">
        <v>101</v>
      </c>
      <c r="G179" s="342">
        <v>74.85</v>
      </c>
      <c r="H179" s="338">
        <v>538920</v>
      </c>
      <c r="I179" s="321">
        <v>108193.2</v>
      </c>
      <c r="J179" s="348">
        <v>647113.2</v>
      </c>
      <c r="K179" s="346"/>
      <c r="Q179"/>
      <c r="R179"/>
      <c r="S179"/>
      <c r="T179" s="256"/>
      <c r="U179" s="256"/>
      <c r="V179" s="258"/>
      <c r="W179" s="258"/>
      <c r="X179" s="257"/>
      <c r="Y179"/>
      <c r="AF179"/>
      <c r="AG179"/>
      <c r="AH179"/>
      <c r="AI179"/>
      <c r="AJ179" s="256"/>
      <c r="AK179" s="256"/>
      <c r="AL179" s="258"/>
      <c r="AM179" s="258"/>
      <c r="AN179" s="257"/>
      <c r="AO179"/>
    </row>
    <row r="180" spans="2:41" s="299" customFormat="1" ht="12.75">
      <c r="B180"/>
      <c r="C180"/>
      <c r="D180"/>
      <c r="E180"/>
      <c r="F180" s="256"/>
      <c r="G180" s="256"/>
      <c r="H180" s="258">
        <v>0.8328063776167755</v>
      </c>
      <c r="I180" s="258">
        <v>0.1671936223832244</v>
      </c>
      <c r="J180" s="257"/>
      <c r="K180"/>
      <c r="Q180"/>
      <c r="R180"/>
      <c r="S180"/>
      <c r="T180" s="256"/>
      <c r="U180" s="256"/>
      <c r="V180" s="258"/>
      <c r="W180" s="258"/>
      <c r="X180" s="257"/>
      <c r="Y180"/>
      <c r="AF180"/>
      <c r="AG180"/>
      <c r="AH180"/>
      <c r="AI180"/>
      <c r="AJ180" s="256"/>
      <c r="AK180" s="256"/>
      <c r="AL180" s="258"/>
      <c r="AM180" s="258"/>
      <c r="AN180" s="257"/>
      <c r="AO180"/>
    </row>
    <row r="181" spans="2:41" s="299" customFormat="1" ht="12.75">
      <c r="B181" s="233" t="s">
        <v>160</v>
      </c>
      <c r="C181"/>
      <c r="D181"/>
      <c r="E181"/>
      <c r="F181"/>
      <c r="G181"/>
      <c r="H181" s="258"/>
      <c r="I181" s="258"/>
      <c r="J181" s="257"/>
      <c r="K181"/>
      <c r="Q181"/>
      <c r="R181"/>
      <c r="S181"/>
      <c r="T181" s="256"/>
      <c r="U181" s="256"/>
      <c r="V181" s="258"/>
      <c r="W181" s="258"/>
      <c r="X181" s="257"/>
      <c r="Y181"/>
      <c r="AF181"/>
      <c r="AG181"/>
      <c r="AH181"/>
      <c r="AI181"/>
      <c r="AJ181" s="256"/>
      <c r="AK181" s="256"/>
      <c r="AL181" s="258"/>
      <c r="AM181" s="258"/>
      <c r="AN181" s="257"/>
      <c r="AO181"/>
    </row>
    <row r="182" ht="6" customHeight="1"/>
    <row r="183" spans="2:41" s="299" customFormat="1" ht="12.75">
      <c r="B183" t="s">
        <v>74</v>
      </c>
      <c r="C183"/>
      <c r="D183" s="154" t="s">
        <v>117</v>
      </c>
      <c r="E183" s="158" t="s">
        <v>119</v>
      </c>
      <c r="F183" s="490">
        <v>2.8</v>
      </c>
      <c r="G183" s="490"/>
      <c r="H183" s="258"/>
      <c r="I183" s="258"/>
      <c r="J183" s="257"/>
      <c r="K183"/>
      <c r="Q183"/>
      <c r="R183"/>
      <c r="S183"/>
      <c r="T183" s="256"/>
      <c r="U183" s="256"/>
      <c r="V183" s="258"/>
      <c r="W183" s="258"/>
      <c r="X183" s="257"/>
      <c r="Y183"/>
      <c r="AF183"/>
      <c r="AG183"/>
      <c r="AH183"/>
      <c r="AI183"/>
      <c r="AJ183" s="256"/>
      <c r="AK183" s="256"/>
      <c r="AL183" s="258"/>
      <c r="AM183" s="258"/>
      <c r="AN183" s="257"/>
      <c r="AO183"/>
    </row>
    <row r="184" spans="2:41" s="299" customFormat="1" ht="12.75">
      <c r="B184" s="395" t="s">
        <v>159</v>
      </c>
      <c r="C184" s="395"/>
      <c r="D184" s="396">
        <v>30</v>
      </c>
      <c r="E184" s="158" t="s">
        <v>119</v>
      </c>
      <c r="F184" s="490">
        <v>5.3</v>
      </c>
      <c r="G184" s="490"/>
      <c r="H184" s="258"/>
      <c r="I184" s="258"/>
      <c r="J184" s="257"/>
      <c r="K184"/>
      <c r="Q184"/>
      <c r="R184"/>
      <c r="S184"/>
      <c r="T184" s="256"/>
      <c r="U184" s="256"/>
      <c r="V184" s="258"/>
      <c r="W184" s="258"/>
      <c r="X184" s="257"/>
      <c r="Y184"/>
      <c r="AF184"/>
      <c r="AG184"/>
      <c r="AH184"/>
      <c r="AI184"/>
      <c r="AJ184" s="256"/>
      <c r="AK184" s="256"/>
      <c r="AL184" s="258"/>
      <c r="AM184" s="258"/>
      <c r="AN184" s="257"/>
      <c r="AO184"/>
    </row>
    <row r="185" spans="2:41" s="299" customFormat="1" ht="12.75">
      <c r="B185" t="s">
        <v>142</v>
      </c>
      <c r="C185"/>
      <c r="D185"/>
      <c r="E185" s="148" t="s">
        <v>144</v>
      </c>
      <c r="F185" s="489">
        <v>45</v>
      </c>
      <c r="G185" s="489"/>
      <c r="H185" s="258"/>
      <c r="I185" s="258"/>
      <c r="J185" s="257"/>
      <c r="K185"/>
      <c r="Q185"/>
      <c r="R185"/>
      <c r="S185"/>
      <c r="T185" s="256"/>
      <c r="U185" s="256"/>
      <c r="V185" s="258"/>
      <c r="W185" s="258"/>
      <c r="X185" s="257"/>
      <c r="Y185"/>
      <c r="AF185"/>
      <c r="AG185"/>
      <c r="AH185"/>
      <c r="AI185"/>
      <c r="AJ185" s="256"/>
      <c r="AK185" s="256"/>
      <c r="AL185" s="258"/>
      <c r="AM185" s="258"/>
      <c r="AN185" s="257"/>
      <c r="AO185"/>
    </row>
    <row r="186" spans="2:41" s="299" customFormat="1" ht="12.75">
      <c r="B186" t="s">
        <v>143</v>
      </c>
      <c r="C186"/>
      <c r="D186"/>
      <c r="E186" s="148" t="s">
        <v>145</v>
      </c>
      <c r="F186" s="489">
        <v>22.5</v>
      </c>
      <c r="G186" s="489"/>
      <c r="H186" s="258"/>
      <c r="I186" s="258"/>
      <c r="J186" s="257"/>
      <c r="K186"/>
      <c r="Q186"/>
      <c r="R186"/>
      <c r="S186"/>
      <c r="T186" s="256"/>
      <c r="U186" s="256"/>
      <c r="V186" s="258"/>
      <c r="W186" s="258"/>
      <c r="X186" s="257"/>
      <c r="Y186"/>
      <c r="AF186"/>
      <c r="AG186"/>
      <c r="AH186"/>
      <c r="AI186"/>
      <c r="AJ186" s="256"/>
      <c r="AK186" s="256"/>
      <c r="AL186" s="258"/>
      <c r="AM186" s="258"/>
      <c r="AN186" s="257"/>
      <c r="AO186"/>
    </row>
    <row r="187" spans="2:41" s="299" customFormat="1" ht="12.75">
      <c r="B187"/>
      <c r="C187"/>
      <c r="D187"/>
      <c r="E187"/>
      <c r="F187" s="256"/>
      <c r="G187" s="256"/>
      <c r="H187" s="258"/>
      <c r="I187" s="258"/>
      <c r="J187" s="257"/>
      <c r="K187"/>
      <c r="Q187"/>
      <c r="R187"/>
      <c r="S187"/>
      <c r="T187" s="256"/>
      <c r="U187" s="256"/>
      <c r="V187" s="258"/>
      <c r="W187" s="258"/>
      <c r="X187" s="257"/>
      <c r="Y187"/>
      <c r="AF187"/>
      <c r="AG187"/>
      <c r="AH187"/>
      <c r="AI187"/>
      <c r="AJ187" s="256"/>
      <c r="AK187" s="256"/>
      <c r="AL187" s="258"/>
      <c r="AM187" s="258"/>
      <c r="AN187" s="257"/>
      <c r="AO187"/>
    </row>
    <row r="188" spans="2:10" ht="12.75">
      <c r="B188" s="233" t="s">
        <v>158</v>
      </c>
      <c r="H188" s="308" t="s">
        <v>147</v>
      </c>
      <c r="I188" s="306">
        <v>21</v>
      </c>
      <c r="J188" s="289"/>
    </row>
    <row r="189" ht="6" customHeight="1"/>
    <row r="190" spans="2:9" ht="12.75">
      <c r="B190" s="225" t="s">
        <v>128</v>
      </c>
      <c r="C190" s="227" t="s">
        <v>148</v>
      </c>
      <c r="D190" s="367" t="s">
        <v>150</v>
      </c>
      <c r="E190" s="227" t="s">
        <v>151</v>
      </c>
      <c r="F190" s="367" t="s">
        <v>152</v>
      </c>
      <c r="G190" s="226" t="s">
        <v>151</v>
      </c>
      <c r="H190" s="227" t="s">
        <v>148</v>
      </c>
      <c r="I190" s="307" t="s">
        <v>157</v>
      </c>
    </row>
    <row r="191" spans="2:9" ht="12.75">
      <c r="B191" s="228" t="s">
        <v>154</v>
      </c>
      <c r="C191" s="230" t="s">
        <v>155</v>
      </c>
      <c r="D191" s="368" t="s">
        <v>129</v>
      </c>
      <c r="E191" s="376" t="s">
        <v>136</v>
      </c>
      <c r="F191" s="368" t="s">
        <v>137</v>
      </c>
      <c r="G191" s="229" t="s">
        <v>141</v>
      </c>
      <c r="H191" s="230" t="s">
        <v>155</v>
      </c>
      <c r="I191" s="362" t="s">
        <v>153</v>
      </c>
    </row>
    <row r="192" spans="2:9" ht="12.75">
      <c r="B192" s="222" t="s">
        <v>126</v>
      </c>
      <c r="C192" s="224"/>
      <c r="D192" s="397"/>
      <c r="E192" s="398"/>
      <c r="F192" s="397"/>
      <c r="G192" s="399"/>
      <c r="H192" s="401"/>
      <c r="I192" s="343"/>
    </row>
    <row r="193" spans="2:9" ht="12.75">
      <c r="B193" s="165">
        <v>12000</v>
      </c>
      <c r="C193" s="166">
        <v>40.50155106215105</v>
      </c>
      <c r="D193" s="384">
        <v>17.355949613590507</v>
      </c>
      <c r="E193" s="378">
        <v>1.2099597237569781</v>
      </c>
      <c r="F193" s="374">
        <v>19.253348562003644</v>
      </c>
      <c r="G193" s="292">
        <v>0.42785219026674765</v>
      </c>
      <c r="H193" s="32" t="s">
        <v>201</v>
      </c>
      <c r="I193" s="391">
        <v>0</v>
      </c>
    </row>
    <row r="194" spans="2:16" ht="12.75">
      <c r="B194" s="165">
        <v>13000</v>
      </c>
      <c r="C194" s="166">
        <v>212.46815272122893</v>
      </c>
      <c r="D194" s="384">
        <v>18.148283501467084</v>
      </c>
      <c r="E194" s="378">
        <v>1.1571342269533307</v>
      </c>
      <c r="F194" s="374">
        <v>20.47243279575356</v>
      </c>
      <c r="G194" s="292">
        <v>0.45494295101674576</v>
      </c>
      <c r="H194" s="32" t="s">
        <v>201</v>
      </c>
      <c r="I194" s="391">
        <v>0</v>
      </c>
      <c r="N194" s="148"/>
      <c r="O194" s="201"/>
      <c r="P194" s="201"/>
    </row>
    <row r="195" spans="2:9" ht="12.75">
      <c r="B195" s="165">
        <v>14000</v>
      </c>
      <c r="C195" s="166">
        <v>695.224693948747</v>
      </c>
      <c r="D195" s="384">
        <v>18.914082311508192</v>
      </c>
      <c r="E195" s="378">
        <v>1.110283843230535</v>
      </c>
      <c r="F195" s="374">
        <v>21.669839951545672</v>
      </c>
      <c r="G195" s="292">
        <v>0.48155199892323713</v>
      </c>
      <c r="H195" s="32" t="s">
        <v>201</v>
      </c>
      <c r="I195" s="391">
        <v>0</v>
      </c>
    </row>
    <row r="196" spans="2:9" ht="12.75">
      <c r="B196" s="165">
        <v>15000</v>
      </c>
      <c r="C196" s="166">
        <v>0</v>
      </c>
      <c r="D196" s="384">
        <v>19.656041662992127</v>
      </c>
      <c r="E196" s="378">
        <v>1.0683738038436417</v>
      </c>
      <c r="F196" s="374">
        <v>22.84746666064307</v>
      </c>
      <c r="G196" s="292">
        <v>0.5077214813476238</v>
      </c>
      <c r="H196" s="32">
        <v>444.48</v>
      </c>
      <c r="I196" s="391">
        <v>0</v>
      </c>
    </row>
    <row r="197" spans="2:9" ht="12.75">
      <c r="B197" s="168">
        <v>16000</v>
      </c>
      <c r="C197" s="169">
        <v>0</v>
      </c>
      <c r="D197" s="385">
        <v>20.376423739014562</v>
      </c>
      <c r="E197" s="379">
        <v>1.030602831437564</v>
      </c>
      <c r="F197" s="375">
        <v>24.006928752217778</v>
      </c>
      <c r="G197" s="293">
        <v>0.5334873056048395</v>
      </c>
      <c r="H197" s="38">
        <v>215.685</v>
      </c>
      <c r="I197" s="392">
        <v>0</v>
      </c>
    </row>
    <row r="198" spans="2:9" ht="12.75">
      <c r="B198" s="222" t="s">
        <v>138</v>
      </c>
      <c r="C198" s="224"/>
      <c r="D198" s="397"/>
      <c r="E198" s="398"/>
      <c r="F198" s="397"/>
      <c r="G198" s="399"/>
      <c r="H198" s="400"/>
      <c r="I198" s="343"/>
    </row>
    <row r="199" spans="2:9" ht="12.75">
      <c r="B199" s="165">
        <v>15000</v>
      </c>
      <c r="C199" s="166">
        <v>308.7976918611738</v>
      </c>
      <c r="D199" s="384">
        <v>14.214351188793625</v>
      </c>
      <c r="E199" s="378">
        <v>1.4773801294958913</v>
      </c>
      <c r="F199" s="374">
        <v>14.427616283769694</v>
      </c>
      <c r="G199" s="292">
        <v>0.3206136951948821</v>
      </c>
      <c r="H199" s="32" t="s">
        <v>201</v>
      </c>
      <c r="I199" s="391">
        <v>0</v>
      </c>
    </row>
    <row r="200" spans="2:9" ht="12.75">
      <c r="B200" s="165">
        <v>16000</v>
      </c>
      <c r="C200" s="166">
        <v>0</v>
      </c>
      <c r="D200" s="384">
        <v>14.816374362562264</v>
      </c>
      <c r="E200" s="378">
        <v>1.4173507962286918</v>
      </c>
      <c r="F200" s="374">
        <v>15.298654689536225</v>
      </c>
      <c r="G200" s="292">
        <v>0.3399701042119161</v>
      </c>
      <c r="H200" s="32" t="s">
        <v>201</v>
      </c>
      <c r="I200" s="391">
        <v>0</v>
      </c>
    </row>
    <row r="201" spans="2:9" ht="12.75">
      <c r="B201" s="165">
        <v>17000</v>
      </c>
      <c r="C201" s="166">
        <v>0</v>
      </c>
      <c r="D201" s="384">
        <v>15.405093603646412</v>
      </c>
      <c r="E201" s="378">
        <v>1.3631854852884024</v>
      </c>
      <c r="F201" s="374">
        <v>16.164712176535872</v>
      </c>
      <c r="G201" s="292">
        <v>0.3592158261452416</v>
      </c>
      <c r="H201" s="32" t="s">
        <v>201</v>
      </c>
      <c r="I201" s="391">
        <v>0</v>
      </c>
    </row>
    <row r="202" spans="2:9" ht="12.75">
      <c r="B202" s="165">
        <v>18000</v>
      </c>
      <c r="C202" s="166">
        <v>866.2773666133229</v>
      </c>
      <c r="D202" s="384">
        <v>15.981561245645164</v>
      </c>
      <c r="E202" s="378">
        <v>1.3140142991800827</v>
      </c>
      <c r="F202" s="374">
        <v>17.02610812407852</v>
      </c>
      <c r="G202" s="292">
        <v>0.37835795831285596</v>
      </c>
      <c r="H202" s="32" t="s">
        <v>201</v>
      </c>
      <c r="I202" s="391">
        <v>0</v>
      </c>
    </row>
    <row r="203" spans="2:9" ht="12.75">
      <c r="B203" s="165">
        <v>19000</v>
      </c>
      <c r="C203" s="166">
        <v>379.3345005389016</v>
      </c>
      <c r="D203" s="384">
        <v>16.546692959379577</v>
      </c>
      <c r="E203" s="378">
        <v>1.269135775441826</v>
      </c>
      <c r="F203" s="374">
        <v>17.883124832586304</v>
      </c>
      <c r="G203" s="292">
        <v>0.39740277405747343</v>
      </c>
      <c r="H203" s="32" t="s">
        <v>201</v>
      </c>
      <c r="I203" s="391">
        <v>0</v>
      </c>
    </row>
    <row r="204" spans="2:9" ht="12.75">
      <c r="B204" s="165">
        <v>20000</v>
      </c>
      <c r="C204" s="166">
        <v>228.70184993493842</v>
      </c>
      <c r="D204" s="384">
        <v>17.101291718895002</v>
      </c>
      <c r="E204" s="378">
        <v>1.2279774151093723</v>
      </c>
      <c r="F204" s="374">
        <v>18.736013554409645</v>
      </c>
      <c r="G204" s="292">
        <v>0.4163558567646588</v>
      </c>
      <c r="H204" s="32" t="s">
        <v>201</v>
      </c>
      <c r="I204" s="391">
        <v>0</v>
      </c>
    </row>
    <row r="205" spans="2:9" ht="12.75">
      <c r="B205" s="165">
        <v>21000</v>
      </c>
      <c r="C205" s="166">
        <v>0</v>
      </c>
      <c r="D205" s="384">
        <v>17.64606658181961</v>
      </c>
      <c r="E205" s="378">
        <v>1.1900669139283357</v>
      </c>
      <c r="F205" s="374">
        <v>19.584999290863365</v>
      </c>
      <c r="G205" s="292">
        <v>0.43522220646363036</v>
      </c>
      <c r="H205" s="32" t="s">
        <v>201</v>
      </c>
      <c r="I205" s="391">
        <v>0</v>
      </c>
    </row>
    <row r="206" spans="2:9" ht="12.75">
      <c r="B206" s="165">
        <v>22000</v>
      </c>
      <c r="C206" s="166">
        <v>0</v>
      </c>
      <c r="D206" s="384">
        <v>18.181647598769544</v>
      </c>
      <c r="E206" s="378">
        <v>1.1550108363898324</v>
      </c>
      <c r="F206" s="374">
        <v>20.43028465472778</v>
      </c>
      <c r="G206" s="292">
        <v>0.4540063256606174</v>
      </c>
      <c r="H206" s="32" t="s">
        <v>201</v>
      </c>
      <c r="I206" s="391">
        <v>0</v>
      </c>
    </row>
    <row r="207" spans="2:9" ht="12.75">
      <c r="B207" s="165">
        <v>23000</v>
      </c>
      <c r="C207" s="166">
        <v>152.88118789468874</v>
      </c>
      <c r="D207" s="384">
        <v>18.70859778873451</v>
      </c>
      <c r="E207" s="378">
        <v>1.1224785650501967</v>
      </c>
      <c r="F207" s="374">
        <v>21.27205301454524</v>
      </c>
      <c r="G207" s="292">
        <v>0.47271228921211644</v>
      </c>
      <c r="H207" s="32" t="s">
        <v>201</v>
      </c>
      <c r="I207" s="391">
        <v>0</v>
      </c>
    </row>
    <row r="208" spans="2:9" ht="12.75">
      <c r="B208" s="165">
        <v>24000</v>
      </c>
      <c r="C208" s="166">
        <v>344.14016151289053</v>
      </c>
      <c r="D208" s="384">
        <v>19.22742285983722</v>
      </c>
      <c r="E208" s="378">
        <v>1.09219005339844</v>
      </c>
      <c r="F208" s="374">
        <v>22.110471079719446</v>
      </c>
      <c r="G208" s="292">
        <v>0.49134380177154324</v>
      </c>
      <c r="H208" s="32" t="s">
        <v>201</v>
      </c>
      <c r="I208" s="391">
        <v>0</v>
      </c>
    </row>
    <row r="209" spans="2:9" ht="12.75">
      <c r="B209" s="165">
        <v>25000</v>
      </c>
      <c r="C209" s="166">
        <v>152.88118789468874</v>
      </c>
      <c r="D209" s="384">
        <v>19.73857917586874</v>
      </c>
      <c r="E209" s="378">
        <v>1.063906363922759</v>
      </c>
      <c r="F209" s="374">
        <v>22.945691045051223</v>
      </c>
      <c r="G209" s="292">
        <v>0.5099042454455828</v>
      </c>
      <c r="H209" s="32">
        <v>418.07</v>
      </c>
      <c r="I209" s="391">
        <v>0.36568322982918827</v>
      </c>
    </row>
    <row r="210" spans="2:9" ht="12.75">
      <c r="B210" s="165">
        <v>26000</v>
      </c>
      <c r="C210" s="166">
        <v>0</v>
      </c>
      <c r="D210" s="384">
        <v>20.242480342424745</v>
      </c>
      <c r="E210" s="378">
        <v>1.0374222745810266</v>
      </c>
      <c r="F210" s="374">
        <v>23.777852384429668</v>
      </c>
      <c r="G210" s="292">
        <v>0.5283967196539926</v>
      </c>
      <c r="H210" s="32">
        <v>248.807</v>
      </c>
      <c r="I210" s="391">
        <v>0</v>
      </c>
    </row>
    <row r="211" spans="2:9" ht="12.75">
      <c r="B211" s="165">
        <v>27000</v>
      </c>
      <c r="C211" s="166">
        <v>0</v>
      </c>
      <c r="D211" s="384">
        <v>20.739502695534348</v>
      </c>
      <c r="E211" s="378">
        <v>1.0125604412164493</v>
      </c>
      <c r="F211" s="374">
        <v>24.60708336237544</v>
      </c>
      <c r="G211" s="292">
        <v>0.5468240747194543</v>
      </c>
      <c r="H211" s="32">
        <v>148.344</v>
      </c>
      <c r="I211" s="391">
        <v>0</v>
      </c>
    </row>
    <row r="212" spans="2:9" ht="12.75">
      <c r="B212" s="165">
        <v>28000</v>
      </c>
      <c r="C212" s="166">
        <v>0</v>
      </c>
      <c r="D212" s="384">
        <v>21.229989909398963</v>
      </c>
      <c r="E212" s="378">
        <v>0.989166744290484</v>
      </c>
      <c r="F212" s="374">
        <v>25.433502316631003</v>
      </c>
      <c r="G212" s="292">
        <v>0.5651889403695779</v>
      </c>
      <c r="H212" s="32">
        <v>88.602</v>
      </c>
      <c r="I212" s="391">
        <v>0</v>
      </c>
    </row>
    <row r="213" spans="2:9" ht="12.75">
      <c r="B213" s="165">
        <v>29000</v>
      </c>
      <c r="C213" s="166">
        <v>0</v>
      </c>
      <c r="D213" s="384">
        <v>21.714256890919042</v>
      </c>
      <c r="E213" s="378">
        <v>0.9671065468872782</v>
      </c>
      <c r="F213" s="374">
        <v>26.25721875342147</v>
      </c>
      <c r="G213" s="292">
        <v>0.5834937500760327</v>
      </c>
      <c r="H213" s="32">
        <v>53.008</v>
      </c>
      <c r="I213" s="391">
        <v>0</v>
      </c>
    </row>
    <row r="214" spans="2:9" ht="12.75">
      <c r="B214" s="168">
        <v>30000</v>
      </c>
      <c r="C214" s="169">
        <v>0</v>
      </c>
      <c r="D214" s="385">
        <v>22.19259309210404</v>
      </c>
      <c r="E214" s="379">
        <v>0.9462616609445087</v>
      </c>
      <c r="F214" s="375">
        <v>27.078334288265726</v>
      </c>
      <c r="G214" s="403">
        <v>0.6017407619614605</v>
      </c>
      <c r="H214" s="38">
        <v>31.765</v>
      </c>
      <c r="I214" s="392">
        <v>0</v>
      </c>
    </row>
    <row r="215" spans="2:9" ht="12.75">
      <c r="B215" s="222" t="s">
        <v>200</v>
      </c>
      <c r="C215" s="224"/>
      <c r="D215" s="397"/>
      <c r="E215" s="398"/>
      <c r="F215" s="397"/>
      <c r="G215" s="399"/>
      <c r="H215" s="400"/>
      <c r="I215" s="343"/>
    </row>
    <row r="216" spans="2:9" ht="12.75">
      <c r="B216" s="165">
        <v>24000</v>
      </c>
      <c r="C216" s="166">
        <v>81.42340513185171</v>
      </c>
      <c r="D216" s="384"/>
      <c r="E216" s="378"/>
      <c r="F216" s="374">
        <v>15</v>
      </c>
      <c r="G216" s="292">
        <v>0.3333333333333333</v>
      </c>
      <c r="H216" s="32" t="s">
        <v>201</v>
      </c>
      <c r="I216" s="391">
        <v>0</v>
      </c>
    </row>
    <row r="217" spans="2:9" ht="12.75">
      <c r="B217" s="168">
        <v>32000</v>
      </c>
      <c r="C217" s="169">
        <v>148.0685575758381</v>
      </c>
      <c r="D217" s="385"/>
      <c r="E217" s="379"/>
      <c r="F217" s="375">
        <v>20</v>
      </c>
      <c r="G217" s="293">
        <v>0.4444444444444444</v>
      </c>
      <c r="H217" s="38" t="s">
        <v>201</v>
      </c>
      <c r="I217" s="392">
        <v>0</v>
      </c>
    </row>
    <row r="218" ht="12.75">
      <c r="I218" s="393">
        <v>0.36568322982918827</v>
      </c>
    </row>
    <row r="219" spans="2:15" ht="12.75">
      <c r="B219" s="233" t="s">
        <v>84</v>
      </c>
      <c r="C219" s="210"/>
      <c r="K219" s="394"/>
      <c r="O219" s="394"/>
    </row>
    <row r="220" spans="2:11" ht="12.75">
      <c r="B220" s="482" t="s">
        <v>80</v>
      </c>
      <c r="C220" s="483"/>
      <c r="D220" s="484"/>
      <c r="E220" s="357" t="s">
        <v>98</v>
      </c>
      <c r="F220" s="186" t="s">
        <v>174</v>
      </c>
      <c r="G220" s="65" t="s">
        <v>170</v>
      </c>
      <c r="H220" s="186" t="s">
        <v>175</v>
      </c>
      <c r="I220" s="64" t="s">
        <v>176</v>
      </c>
      <c r="J220" s="65" t="s">
        <v>177</v>
      </c>
      <c r="K220" s="62" t="s">
        <v>198</v>
      </c>
    </row>
    <row r="221" spans="2:11" ht="12.75">
      <c r="B221" s="316">
        <v>7</v>
      </c>
      <c r="C221" s="485" t="s">
        <v>86</v>
      </c>
      <c r="D221" s="486"/>
      <c r="E221" s="358">
        <v>21</v>
      </c>
      <c r="F221" s="332">
        <v>380</v>
      </c>
      <c r="G221" s="339">
        <v>79.8</v>
      </c>
      <c r="H221" s="335">
        <v>574560</v>
      </c>
      <c r="I221" s="231"/>
      <c r="J221" s="347">
        <v>574560</v>
      </c>
      <c r="K221" s="343"/>
    </row>
    <row r="222" spans="2:11" ht="12.75">
      <c r="B222" s="309">
        <v>2</v>
      </c>
      <c r="C222" s="487" t="s">
        <v>82</v>
      </c>
      <c r="D222" s="488"/>
      <c r="E222" s="359">
        <v>30</v>
      </c>
      <c r="F222" s="333">
        <v>22</v>
      </c>
      <c r="G222" s="340">
        <v>6.6</v>
      </c>
      <c r="H222" s="336">
        <v>47520</v>
      </c>
      <c r="I222" s="220">
        <v>45936</v>
      </c>
      <c r="J222" s="166">
        <v>93456</v>
      </c>
      <c r="K222" s="354" t="s">
        <v>194</v>
      </c>
    </row>
    <row r="223" spans="2:11" ht="12.75">
      <c r="B223" s="309">
        <v>6</v>
      </c>
      <c r="C223" s="487" t="s">
        <v>85</v>
      </c>
      <c r="D223" s="488"/>
      <c r="E223" s="359"/>
      <c r="F223" s="333">
        <v>95</v>
      </c>
      <c r="G223" s="340">
        <v>0</v>
      </c>
      <c r="H223" s="336">
        <v>0</v>
      </c>
      <c r="I223" s="220">
        <v>54720</v>
      </c>
      <c r="J223" s="166">
        <v>54720</v>
      </c>
      <c r="K223" s="344" t="s">
        <v>194</v>
      </c>
    </row>
    <row r="224" spans="2:11" ht="12.75">
      <c r="B224" s="309">
        <v>3</v>
      </c>
      <c r="C224" s="487" t="s">
        <v>83</v>
      </c>
      <c r="D224" s="488"/>
      <c r="E224" s="359">
        <v>0</v>
      </c>
      <c r="F224" s="333">
        <v>26</v>
      </c>
      <c r="G224" s="340">
        <v>0</v>
      </c>
      <c r="H224" s="336">
        <v>0</v>
      </c>
      <c r="I224" s="220">
        <v>23212.8</v>
      </c>
      <c r="J224" s="166">
        <v>23212.8</v>
      </c>
      <c r="K224" s="344" t="s">
        <v>197</v>
      </c>
    </row>
    <row r="225" spans="2:11" ht="12.75">
      <c r="B225" s="353">
        <v>8</v>
      </c>
      <c r="C225" s="480" t="s">
        <v>165</v>
      </c>
      <c r="D225" s="481"/>
      <c r="E225" s="360"/>
      <c r="F225" s="356">
        <v>1.6</v>
      </c>
      <c r="G225" s="341">
        <v>0</v>
      </c>
      <c r="H225" s="337">
        <v>0</v>
      </c>
      <c r="I225" s="221">
        <v>7680</v>
      </c>
      <c r="J225" s="169">
        <v>7680</v>
      </c>
      <c r="K225" s="355" t="s">
        <v>194</v>
      </c>
    </row>
    <row r="226" spans="2:11" ht="12.75">
      <c r="B226" s="349"/>
      <c r="C226" s="350"/>
      <c r="D226" s="351"/>
      <c r="E226" s="361"/>
      <c r="F226" s="334" t="s">
        <v>101</v>
      </c>
      <c r="G226" s="342">
        <v>86.4</v>
      </c>
      <c r="H226" s="338">
        <v>622080</v>
      </c>
      <c r="I226" s="321">
        <v>131548.8</v>
      </c>
      <c r="J226" s="348">
        <v>753628.8</v>
      </c>
      <c r="K226" s="346"/>
    </row>
    <row r="227" spans="6:10" ht="12.75">
      <c r="F227" s="256"/>
      <c r="G227" s="256"/>
      <c r="H227" s="258">
        <v>0.8254461612931989</v>
      </c>
      <c r="I227" s="258">
        <v>0.174553838706801</v>
      </c>
      <c r="J227" s="257"/>
    </row>
  </sheetData>
  <sheetProtection/>
  <mergeCells count="43">
    <mergeCell ref="I3:K3"/>
    <mergeCell ref="F185:G185"/>
    <mergeCell ref="F44:G44"/>
    <mergeCell ref="F186:G186"/>
    <mergeCell ref="F89:G89"/>
    <mergeCell ref="F90:G90"/>
    <mergeCell ref="F91:G91"/>
    <mergeCell ref="F92:G92"/>
    <mergeCell ref="F136:G136"/>
    <mergeCell ref="F137:G137"/>
    <mergeCell ref="C3:E3"/>
    <mergeCell ref="F3:H3"/>
    <mergeCell ref="F42:G42"/>
    <mergeCell ref="C80:D80"/>
    <mergeCell ref="C81:D81"/>
    <mergeCell ref="C82:D82"/>
    <mergeCell ref="B79:D79"/>
    <mergeCell ref="F45:G45"/>
    <mergeCell ref="F43:G43"/>
    <mergeCell ref="C84:D84"/>
    <mergeCell ref="C224:D224"/>
    <mergeCell ref="C83:D83"/>
    <mergeCell ref="B173:D173"/>
    <mergeCell ref="C174:D174"/>
    <mergeCell ref="C175:D175"/>
    <mergeCell ref="B220:D220"/>
    <mergeCell ref="C221:D221"/>
    <mergeCell ref="C222:D222"/>
    <mergeCell ref="F138:G138"/>
    <mergeCell ref="F183:G183"/>
    <mergeCell ref="F184:G184"/>
    <mergeCell ref="C176:D176"/>
    <mergeCell ref="C177:D177"/>
    <mergeCell ref="C178:D178"/>
    <mergeCell ref="F139:G139"/>
    <mergeCell ref="C225:D225"/>
    <mergeCell ref="B126:D126"/>
    <mergeCell ref="C127:D127"/>
    <mergeCell ref="C128:D128"/>
    <mergeCell ref="C129:D129"/>
    <mergeCell ref="C130:D130"/>
    <mergeCell ref="C131:D131"/>
    <mergeCell ref="C223:D223"/>
  </mergeCells>
  <printOptions horizontalCentered="1" verticalCentered="1"/>
  <pageMargins left="0.5905511811023623" right="0.5905511811023623" top="0.5905511811023623" bottom="0.3937007874015748" header="0" footer="0"/>
  <pageSetup horizontalDpi="300" verticalDpi="300" orientation="portrait" paperSize="9" r:id="rId1"/>
  <rowBreaks count="4" manualBreakCount="4">
    <brk id="39" max="255" man="1"/>
    <brk id="86" max="255" man="1"/>
    <brk id="133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V165"/>
  <sheetViews>
    <sheetView showZeros="0" zoomScale="75" zoomScaleNormal="75" zoomScalePageLayoutView="0" workbookViewId="0" topLeftCell="A127">
      <selection activeCell="O96" sqref="O96:P96"/>
    </sheetView>
  </sheetViews>
  <sheetFormatPr defaultColWidth="11.421875" defaultRowHeight="12.75"/>
  <cols>
    <col min="1" max="1" width="3.7109375" style="0" customWidth="1"/>
    <col min="2" max="2" width="9.7109375" style="0" customWidth="1"/>
    <col min="3" max="16" width="8.7109375" style="0" customWidth="1"/>
    <col min="17" max="17" width="2.7109375" style="0" customWidth="1"/>
    <col min="18" max="18" width="9.7109375" style="0" customWidth="1"/>
    <col min="19" max="32" width="8.7109375" style="0" customWidth="1"/>
    <col min="33" max="33" width="2.7109375" style="0" customWidth="1"/>
    <col min="34" max="34" width="9.7109375" style="0" customWidth="1"/>
    <col min="35" max="48" width="8.7109375" style="0" customWidth="1"/>
  </cols>
  <sheetData>
    <row r="1" ht="12.75">
      <c r="B1" s="233" t="s">
        <v>190</v>
      </c>
    </row>
    <row r="2" ht="12.75">
      <c r="B2" s="233" t="s">
        <v>191</v>
      </c>
    </row>
    <row r="3" ht="12.75">
      <c r="B3" s="233" t="s">
        <v>192</v>
      </c>
    </row>
    <row r="4" spans="9:10" ht="12.75">
      <c r="I4" s="105" t="s">
        <v>179</v>
      </c>
      <c r="J4" s="207">
        <v>40</v>
      </c>
    </row>
    <row r="5" spans="2:18" ht="12.75">
      <c r="B5" s="151" t="s">
        <v>178</v>
      </c>
      <c r="I5" s="105" t="s">
        <v>182</v>
      </c>
      <c r="J5" s="290">
        <v>1.2</v>
      </c>
      <c r="Q5" s="158"/>
      <c r="R5" s="152"/>
    </row>
    <row r="6" ht="6" customHeight="1"/>
    <row r="7" spans="2:12" ht="12.75">
      <c r="B7" s="198" t="s">
        <v>128</v>
      </c>
      <c r="C7" s="491" t="s">
        <v>109</v>
      </c>
      <c r="D7" s="492"/>
      <c r="E7" s="492"/>
      <c r="F7" s="492"/>
      <c r="G7" s="493"/>
      <c r="H7" s="491" t="s">
        <v>114</v>
      </c>
      <c r="I7" s="493"/>
      <c r="J7" s="504" t="s">
        <v>113</v>
      </c>
      <c r="L7" s="151" t="s">
        <v>126</v>
      </c>
    </row>
    <row r="8" spans="2:18" ht="12.75">
      <c r="B8" s="199" t="s">
        <v>115</v>
      </c>
      <c r="C8" s="174" t="s">
        <v>58</v>
      </c>
      <c r="D8" s="175" t="s">
        <v>59</v>
      </c>
      <c r="E8" s="175" t="s">
        <v>60</v>
      </c>
      <c r="F8" s="175" t="s">
        <v>61</v>
      </c>
      <c r="G8" s="176" t="s">
        <v>62</v>
      </c>
      <c r="H8" s="174" t="s">
        <v>16</v>
      </c>
      <c r="I8" s="176" t="s">
        <v>17</v>
      </c>
      <c r="J8" s="505"/>
      <c r="L8" s="151" t="s">
        <v>134</v>
      </c>
      <c r="R8" s="151" t="s">
        <v>135</v>
      </c>
    </row>
    <row r="9" spans="2:19" ht="12.75">
      <c r="B9" s="187">
        <v>2000</v>
      </c>
      <c r="C9" s="177">
        <f>SUMIF('Carga Ríg'!N$10:N$93,$B9,'Carga Ríg'!$X$10:$X$93)</f>
        <v>0</v>
      </c>
      <c r="D9" s="178">
        <f>SUMIF('Carga Ríg'!O$10:O$93,$B9,'Carga Ríg'!$X$10:$X$93)</f>
        <v>0</v>
      </c>
      <c r="E9" s="178">
        <f>SUMIF('Carga Ríg'!P$10:P$93,$B9,'Carga Ríg'!$X$10:$X$93)</f>
        <v>0</v>
      </c>
      <c r="F9" s="178">
        <f>SUMIF('Carga Ríg'!Q$10:Q$93,$B9,'Carga Ríg'!$X$10:$X$93)</f>
        <v>0</v>
      </c>
      <c r="G9" s="179">
        <f>SUMIF('Carga Ríg'!R$10:R$93,$B9,'Carga Ríg'!$X$10:$X$93)</f>
        <v>0</v>
      </c>
      <c r="H9" s="177">
        <f>SUMIF('Carga Ríg'!S$10:S$93,$B9,'Carga Ríg'!$X$10:$X$93)</f>
        <v>0</v>
      </c>
      <c r="I9" s="179">
        <f>SUMIF('Carga Ríg'!T$10:T$93,$B9,'Carga Ríg'!$X$10:$X$93)</f>
        <v>0</v>
      </c>
      <c r="J9" s="187">
        <f>SUMIF('Carga Ríg'!U$10:U$93,$B9,'Carga Ríg'!$X$10:$X$93)</f>
        <v>0</v>
      </c>
      <c r="L9" t="s">
        <v>183</v>
      </c>
      <c r="N9" s="209" t="s">
        <v>189</v>
      </c>
      <c r="O9" t="s">
        <v>128</v>
      </c>
      <c r="P9" t="s">
        <v>129</v>
      </c>
      <c r="R9" t="s">
        <v>137</v>
      </c>
      <c r="S9" s="211" t="s">
        <v>136</v>
      </c>
    </row>
    <row r="10" spans="2:19" ht="12.75">
      <c r="B10" s="188">
        <v>3000</v>
      </c>
      <c r="C10" s="180">
        <f>SUMIF('Carga Ríg'!N$10:N$93,$B10,'Carga Ríg'!$X$10:$X$93)</f>
        <v>199.2366183920481</v>
      </c>
      <c r="D10" s="181">
        <f>SUMIF('Carga Ríg'!O$10:O$93,$B10,'Carga Ríg'!$X$10:$X$93)</f>
        <v>0</v>
      </c>
      <c r="E10" s="181">
        <f>SUMIF('Carga Ríg'!P$10:P$93,$B10,'Carga Ríg'!$X$10:$X$93)</f>
        <v>0</v>
      </c>
      <c r="F10" s="181">
        <f>SUMIF('Carga Ríg'!Q$10:Q$93,$B10,'Carga Ríg'!$X$10:$X$93)</f>
        <v>112.52046910699424</v>
      </c>
      <c r="G10" s="182">
        <f>SUMIF('Carga Ríg'!R$10:R$93,$B10,'Carga Ríg'!$X$10:$X$93)</f>
        <v>0</v>
      </c>
      <c r="H10" s="180">
        <f>SUMIF('Carga Ríg'!S$10:S$93,$B10,'Carga Ríg'!$X$10:$X$93)</f>
        <v>0</v>
      </c>
      <c r="I10" s="182">
        <f>SUMIF('Carga Ríg'!T$10:T$93,$B10,'Carga Ríg'!$X$10:$X$93)</f>
        <v>0</v>
      </c>
      <c r="J10" s="188">
        <f>SUMIF('Carga Ríg'!U$10:U$93,$B10,'Carga Ríg'!$X$10:$X$93)</f>
        <v>0</v>
      </c>
      <c r="L10" t="s">
        <v>185</v>
      </c>
      <c r="N10" s="209" t="s">
        <v>130</v>
      </c>
      <c r="O10" s="202">
        <v>10000</v>
      </c>
      <c r="P10" s="203">
        <f>0.08502*O10^0.57803</f>
        <v>17.44380007862564</v>
      </c>
      <c r="Q10" s="203"/>
      <c r="R10" s="212">
        <v>25</v>
      </c>
      <c r="S10" s="215">
        <f>10.3933*R10^-0.7271</f>
        <v>1.0007170124412295</v>
      </c>
    </row>
    <row r="11" spans="2:19" ht="12.75">
      <c r="B11" s="188">
        <v>4000</v>
      </c>
      <c r="C11" s="180">
        <f>SUMIF('Carga Ríg'!N$10:N$93,$B11,'Carga Ríg'!$X$10:$X$93)</f>
        <v>239.34439405654425</v>
      </c>
      <c r="D11" s="181">
        <f>SUMIF('Carga Ríg'!O$10:O$93,$B11,'Carga Ríg'!$X$10:$X$93)</f>
        <v>197.2029706699218</v>
      </c>
      <c r="E11" s="181">
        <f>SUMIF('Carga Ríg'!P$10:P$93,$B11,'Carga Ríg'!$X$10:$X$93)</f>
        <v>112.52046910699424</v>
      </c>
      <c r="F11" s="181">
        <f>SUMIF('Carga Ríg'!Q$10:Q$93,$B11,'Carga Ríg'!$X$10:$X$93)</f>
        <v>0</v>
      </c>
      <c r="G11" s="182">
        <f>SUMIF('Carga Ríg'!R$10:R$93,$B11,'Carga Ríg'!$X$10:$X$93)</f>
        <v>0</v>
      </c>
      <c r="H11" s="180">
        <f>SUMIF('Carga Ríg'!S$10:S$93,$B11,'Carga Ríg'!$X$10:$X$93)</f>
        <v>0</v>
      </c>
      <c r="I11" s="182">
        <f>SUMIF('Carga Ríg'!T$10:T$93,$B11,'Carga Ríg'!$X$10:$X$93)</f>
        <v>0</v>
      </c>
      <c r="J11" s="188">
        <f>SUMIF('Carga Ríg'!U$10:U$93,$B11,'Carga Ríg'!$X$10:$X$93)</f>
        <v>0</v>
      </c>
      <c r="L11" t="s">
        <v>184</v>
      </c>
      <c r="N11" s="209" t="s">
        <v>131</v>
      </c>
      <c r="O11" s="202">
        <v>10000</v>
      </c>
      <c r="P11" s="234">
        <f>0.09214*O11^0.55771</f>
        <v>15.677911476209287</v>
      </c>
      <c r="Q11" s="203"/>
      <c r="R11" s="216">
        <f>25.0231*S11^-1.3753</f>
        <v>25.0231</v>
      </c>
      <c r="S11" s="152">
        <v>1</v>
      </c>
    </row>
    <row r="12" spans="2:18" ht="12.75">
      <c r="B12" s="188">
        <v>5000</v>
      </c>
      <c r="C12" s="180">
        <f>SUMIF('Carga Ríg'!N$10:N$93,$B12,'Carga Ríg'!$X$10:$X$93)</f>
        <v>2252.9863696522402</v>
      </c>
      <c r="D12" s="181">
        <f>SUMIF('Carga Ríg'!O$10:O$93,$B12,'Carga Ríg'!$X$10:$X$93)</f>
        <v>176.73835806637743</v>
      </c>
      <c r="E12" s="181">
        <f>SUMIF('Carga Ríg'!P$10:P$93,$B12,'Carga Ríg'!$X$10:$X$93)</f>
        <v>386.2330520974965</v>
      </c>
      <c r="F12" s="181">
        <f>SUMIF('Carga Ríg'!Q$10:Q$93,$B12,'Carga Ríg'!$X$10:$X$93)</f>
        <v>386.2330520974965</v>
      </c>
      <c r="G12" s="182">
        <f>SUMIF('Carga Ríg'!R$10:R$93,$B12,'Carga Ríg'!$X$10:$X$93)</f>
        <v>0</v>
      </c>
      <c r="H12" s="180">
        <f>SUMIF('Carga Ríg'!S$10:S$93,$B12,'Carga Ríg'!$X$10:$X$93)</f>
        <v>0</v>
      </c>
      <c r="I12" s="182">
        <f>SUMIF('Carga Ríg'!T$10:T$93,$B12,'Carga Ríg'!$X$10:$X$93)</f>
        <v>0</v>
      </c>
      <c r="J12" s="188">
        <f>SUMIF('Carga Ríg'!U$10:U$93,$B12,'Carga Ríg'!$X$10:$X$93)</f>
        <v>0</v>
      </c>
      <c r="L12" t="s">
        <v>186</v>
      </c>
      <c r="N12" s="209" t="s">
        <v>127</v>
      </c>
      <c r="O12" s="202">
        <v>10000</v>
      </c>
      <c r="P12" s="214">
        <f>0.08996*O12^0.55337</f>
        <v>14.70718132123911</v>
      </c>
      <c r="Q12" s="203"/>
      <c r="R12" s="151" t="s">
        <v>139</v>
      </c>
    </row>
    <row r="13" spans="2:19" ht="12.75">
      <c r="B13" s="188">
        <v>6000</v>
      </c>
      <c r="C13" s="180">
        <f>SUMIF('Carga Ríg'!N$10:N$93,$B13,'Carga Ríg'!$X$10:$X$93)</f>
        <v>1451.864095287936</v>
      </c>
      <c r="D13" s="181">
        <f>SUMIF('Carga Ríg'!O$10:O$93,$B13,'Carga Ríg'!$X$10:$X$93)</f>
        <v>1039.6856864190568</v>
      </c>
      <c r="E13" s="181">
        <f>SUMIF('Carga Ríg'!P$10:P$93,$B13,'Carga Ríg'!$X$10:$X$93)</f>
        <v>0</v>
      </c>
      <c r="F13" s="181">
        <f>SUMIF('Carga Ríg'!Q$10:Q$93,$B13,'Carga Ríg'!$X$10:$X$93)</f>
        <v>0</v>
      </c>
      <c r="G13" s="182">
        <f>SUMIF('Carga Ríg'!R$10:R$93,$B13,'Carga Ríg'!$X$10:$X$93)</f>
        <v>0</v>
      </c>
      <c r="H13" s="180">
        <f>SUMIF('Carga Ríg'!S$10:S$93,$B13,'Carga Ríg'!$X$10:$X$93)</f>
        <v>107.71506466118488</v>
      </c>
      <c r="I13" s="182">
        <f>SUMIF('Carga Ríg'!T$10:T$93,$B13,'Carga Ríg'!$X$10:$X$93)</f>
        <v>0</v>
      </c>
      <c r="J13" s="188">
        <f>SUMIF('Carga Ríg'!U$10:U$93,$B13,'Carga Ríg'!$X$10:$X$93)</f>
        <v>0</v>
      </c>
      <c r="L13" t="s">
        <v>187</v>
      </c>
      <c r="N13" s="209" t="s">
        <v>132</v>
      </c>
      <c r="O13" s="202">
        <v>10000</v>
      </c>
      <c r="P13" s="203">
        <f>0.08116*O13^0.55988</f>
        <v>14.088411829867129</v>
      </c>
      <c r="Q13" s="203"/>
      <c r="R13" s="204" t="s">
        <v>141</v>
      </c>
      <c r="S13" t="s">
        <v>140</v>
      </c>
    </row>
    <row r="14" spans="2:19" ht="12.75">
      <c r="B14" s="188">
        <v>7000</v>
      </c>
      <c r="C14" s="180">
        <f>SUMIF('Carga Ríg'!N$10:N$93,$B14,'Carga Ríg'!$X$10:$X$93)</f>
        <v>991.959510659833</v>
      </c>
      <c r="D14" s="181">
        <f>SUMIF('Carga Ríg'!O$10:O$93,$B14,'Carga Ríg'!$X$10:$X$93)</f>
        <v>0</v>
      </c>
      <c r="E14" s="181">
        <f>SUMIF('Carga Ríg'!P$10:P$93,$B14,'Carga Ríg'!$X$10:$X$93)</f>
        <v>0</v>
      </c>
      <c r="F14" s="181">
        <f>SUMIF('Carga Ríg'!Q$10:Q$93,$B14,'Carga Ríg'!$X$10:$X$93)</f>
        <v>0</v>
      </c>
      <c r="G14" s="182">
        <f>SUMIF('Carga Ríg'!R$10:R$93,$B14,'Carga Ríg'!$X$10:$X$93)</f>
        <v>0</v>
      </c>
      <c r="H14" s="180">
        <f>SUMIF('Carga Ríg'!S$10:S$93,$B14,'Carga Ríg'!$X$10:$X$93)</f>
        <v>0</v>
      </c>
      <c r="I14" s="182">
        <f>SUMIF('Carga Ríg'!T$10:T$93,$B14,'Carga Ríg'!$X$10:$X$93)</f>
        <v>0</v>
      </c>
      <c r="J14" s="188">
        <f>SUMIF('Carga Ríg'!U$10:U$93,$B14,'Carga Ríg'!$X$10:$X$93)</f>
        <v>21.142508010491408</v>
      </c>
      <c r="L14" t="s">
        <v>188</v>
      </c>
      <c r="N14" s="209" t="s">
        <v>133</v>
      </c>
      <c r="O14" s="202">
        <v>10000</v>
      </c>
      <c r="P14" s="203">
        <f>0.08174*O14^0.55544</f>
        <v>13.620549641328955</v>
      </c>
      <c r="Q14" s="203"/>
      <c r="R14" s="204">
        <v>0.5</v>
      </c>
      <c r="S14" s="232">
        <f>6.8539*10^11*EXP(-28.0638*R14)</f>
        <v>552027.893817201</v>
      </c>
    </row>
    <row r="15" spans="2:10" ht="12.75">
      <c r="B15" s="188">
        <v>8000</v>
      </c>
      <c r="C15" s="180">
        <f>SUMIF('Carga Ríg'!N$10:N$93,$B15,'Carga Ríg'!$X$10:$X$93)</f>
        <v>1962.8640360239056</v>
      </c>
      <c r="D15" s="181">
        <f>SUMIF('Carga Ríg'!O$10:O$93,$B15,'Carga Ríg'!$X$10:$X$93)</f>
        <v>1329.2509122489057</v>
      </c>
      <c r="E15" s="181">
        <f>SUMIF('Carga Ríg'!P$10:P$93,$B15,'Carga Ríg'!$X$10:$X$93)</f>
        <v>0</v>
      </c>
      <c r="F15" s="181">
        <f>SUMIF('Carga Ríg'!Q$10:Q$93,$B15,'Carga Ríg'!$X$10:$X$93)</f>
        <v>0</v>
      </c>
      <c r="G15" s="182">
        <f>SUMIF('Carga Ríg'!R$10:R$93,$B15,'Carga Ríg'!$X$10:$X$93)</f>
        <v>0</v>
      </c>
      <c r="H15" s="180">
        <f>SUMIF('Carga Ríg'!S$10:S$93,$B15,'Carga Ríg'!$X$10:$X$93)</f>
        <v>0</v>
      </c>
      <c r="I15" s="182">
        <f>SUMIF('Carga Ríg'!T$10:T$93,$B15,'Carga Ríg'!$X$10:$X$93)</f>
        <v>0</v>
      </c>
      <c r="J15" s="188">
        <f>SUMIF('Carga Ríg'!U$10:U$93,$B15,'Carga Ríg'!$X$10:$X$93)</f>
        <v>0</v>
      </c>
    </row>
    <row r="16" spans="2:12" ht="12.75">
      <c r="B16" s="188">
        <v>9000</v>
      </c>
      <c r="C16" s="180">
        <f>SUMIF('Carga Ríg'!N$10:N$93,$B16,'Carga Ríg'!$X$10:$X$93)</f>
        <v>345.8291541111968</v>
      </c>
      <c r="D16" s="181">
        <f>SUMIF('Carga Ríg'!O$10:O$93,$B16,'Carga Ríg'!$X$10:$X$93)</f>
        <v>0</v>
      </c>
      <c r="E16" s="181">
        <f>SUMIF('Carga Ríg'!P$10:P$93,$B16,'Carga Ríg'!$X$10:$X$93)</f>
        <v>0</v>
      </c>
      <c r="F16" s="181">
        <f>SUMIF('Carga Ríg'!Q$10:Q$93,$B16,'Carga Ríg'!$X$10:$X$93)</f>
        <v>0</v>
      </c>
      <c r="G16" s="182">
        <f>SUMIF('Carga Ríg'!R$10:R$93,$B16,'Carga Ríg'!$X$10:$X$93)</f>
        <v>0</v>
      </c>
      <c r="H16" s="180">
        <f>SUMIF('Carga Ríg'!S$10:S$93,$B16,'Carga Ríg'!$X$10:$X$93)</f>
        <v>0</v>
      </c>
      <c r="I16" s="182">
        <f>SUMIF('Carga Ríg'!T$10:T$93,$B16,'Carga Ríg'!$X$10:$X$93)</f>
        <v>0</v>
      </c>
      <c r="J16" s="188">
        <f>SUMIF('Carga Ríg'!U$10:U$93,$B16,'Carga Ríg'!$X$10:$X$93)</f>
        <v>0</v>
      </c>
      <c r="L16" s="151" t="s">
        <v>138</v>
      </c>
    </row>
    <row r="17" spans="2:18" ht="12.75">
      <c r="B17" s="188">
        <v>10000</v>
      </c>
      <c r="C17" s="180">
        <f>SUMIF('Carga Ríg'!N$10:N$93,$B17,'Carga Ríg'!$X$10:$X$93)</f>
        <v>421.8517156083379</v>
      </c>
      <c r="D17" s="181">
        <f>SUMIF('Carga Ríg'!O$10:O$93,$B17,'Carga Ríg'!$X$10:$X$93)</f>
        <v>271.92104596005777</v>
      </c>
      <c r="E17" s="181">
        <f>SUMIF('Carga Ríg'!P$10:P$93,$B17,'Carga Ríg'!$X$10:$X$93)</f>
        <v>0</v>
      </c>
      <c r="F17" s="181">
        <f>SUMIF('Carga Ríg'!Q$10:Q$93,$B17,'Carga Ríg'!$X$10:$X$93)</f>
        <v>0</v>
      </c>
      <c r="G17" s="182">
        <f>SUMIF('Carga Ríg'!R$10:R$93,$B17,'Carga Ríg'!$X$10:$X$93)</f>
        <v>0</v>
      </c>
      <c r="H17" s="180">
        <f>SUMIF('Carga Ríg'!S$10:S$93,$B17,'Carga Ríg'!$X$10:$X$93)</f>
        <v>625.2070189402808</v>
      </c>
      <c r="I17" s="182">
        <f>SUMIF('Carga Ríg'!T$10:T$93,$B17,'Carga Ríg'!$X$10:$X$93)</f>
        <v>0</v>
      </c>
      <c r="J17" s="188">
        <f>SUMIF('Carga Ríg'!U$10:U$93,$B17,'Carga Ríg'!$X$10:$X$93)</f>
        <v>0</v>
      </c>
      <c r="L17" s="151" t="s">
        <v>134</v>
      </c>
      <c r="R17" s="151" t="s">
        <v>135</v>
      </c>
    </row>
    <row r="18" spans="2:19" ht="12.75">
      <c r="B18" s="188">
        <v>11000</v>
      </c>
      <c r="C18" s="180">
        <f>SUMIF('Carga Ríg'!N$10:N$93,$B18,'Carga Ríg'!$X$10:$X$93)</f>
        <v>368.32536542984354</v>
      </c>
      <c r="D18" s="181">
        <f>SUMIF('Carga Ríg'!O$10:O$93,$B18,'Carga Ríg'!$X$10:$X$93)</f>
        <v>534.222795836771</v>
      </c>
      <c r="E18" s="181">
        <f>SUMIF('Carga Ríg'!P$10:P$93,$B18,'Carga Ríg'!$X$10:$X$93)</f>
        <v>0</v>
      </c>
      <c r="F18" s="181">
        <f>SUMIF('Carga Ríg'!Q$10:Q$93,$B18,'Carga Ríg'!$X$10:$X$93)</f>
        <v>98.38999159123217</v>
      </c>
      <c r="G18" s="182">
        <f>SUMIF('Carga Ríg'!R$10:R$93,$B18,'Carga Ríg'!$X$10:$X$93)</f>
        <v>0</v>
      </c>
      <c r="H18" s="180">
        <f>SUMIF('Carga Ríg'!S$10:S$93,$B18,'Carga Ríg'!$X$10:$X$93)</f>
        <v>538.9110377941081</v>
      </c>
      <c r="I18" s="182">
        <f>SUMIF('Carga Ríg'!T$10:T$93,$B18,'Carga Ríg'!$X$10:$X$93)</f>
        <v>0</v>
      </c>
      <c r="J18" s="188">
        <f>SUMIF('Carga Ríg'!U$10:U$93,$B18,'Carga Ríg'!$X$10:$X$93)</f>
        <v>0</v>
      </c>
      <c r="L18" t="s">
        <v>183</v>
      </c>
      <c r="N18" s="209" t="s">
        <v>189</v>
      </c>
      <c r="O18" t="s">
        <v>128</v>
      </c>
      <c r="P18" t="s">
        <v>129</v>
      </c>
      <c r="R18" t="s">
        <v>137</v>
      </c>
      <c r="S18" s="211" t="s">
        <v>136</v>
      </c>
    </row>
    <row r="19" spans="2:19" ht="12.75">
      <c r="B19" s="188">
        <v>12000</v>
      </c>
      <c r="C19" s="180">
        <f>SUMIF('Carga Ríg'!N$10:N$93,$B19,'Carga Ríg'!$X$10:$X$93)</f>
        <v>0</v>
      </c>
      <c r="D19" s="181">
        <f>SUMIF('Carga Ríg'!O$10:O$93,$B19,'Carga Ríg'!$X$10:$X$93)</f>
        <v>1232.2384960946697</v>
      </c>
      <c r="E19" s="181">
        <f>SUMIF('Carga Ríg'!P$10:P$93,$B19,'Carga Ríg'!$X$10:$X$93)</f>
        <v>98.38999159123217</v>
      </c>
      <c r="F19" s="181">
        <f>SUMIF('Carga Ríg'!Q$10:Q$93,$B19,'Carga Ríg'!$X$10:$X$93)</f>
        <v>17.27058363037586</v>
      </c>
      <c r="G19" s="182">
        <f>SUMIF('Carga Ríg'!R$10:R$93,$B19,'Carga Ríg'!$X$10:$X$93)</f>
        <v>0</v>
      </c>
      <c r="H19" s="180">
        <f>SUMIF('Carga Ríg'!S$10:S$93,$B19,'Carga Ríg'!$X$10:$X$93)</f>
        <v>0</v>
      </c>
      <c r="I19" s="182">
        <f>SUMIF('Carga Ríg'!T$10:T$93,$B19,'Carga Ríg'!$X$10:$X$93)</f>
        <v>0</v>
      </c>
      <c r="J19" s="188">
        <f>SUMIF('Carga Ríg'!U$10:U$93,$B19,'Carga Ríg'!$X$10:$X$93)</f>
        <v>0</v>
      </c>
      <c r="L19" t="s">
        <v>185</v>
      </c>
      <c r="N19" s="209" t="s">
        <v>130</v>
      </c>
      <c r="O19" s="202">
        <v>16000</v>
      </c>
      <c r="P19" s="203">
        <f>0.024086*O19^0.67753</f>
        <v>16.989558526025935</v>
      </c>
      <c r="Q19" s="203"/>
      <c r="R19" s="212">
        <v>25</v>
      </c>
      <c r="S19" s="152">
        <f>9.7664*R19^-0.7076</f>
        <v>1.001272198109476</v>
      </c>
    </row>
    <row r="20" spans="2:19" ht="12.75">
      <c r="B20" s="188">
        <v>13000</v>
      </c>
      <c r="C20" s="180">
        <f>SUMIF('Carga Ríg'!N$10:N$93,$B20,'Carga Ríg'!$X$10:$X$93)</f>
        <v>0</v>
      </c>
      <c r="D20" s="181">
        <f>SUMIF('Carga Ríg'!O$10:O$93,$B20,'Carga Ríg'!$X$10:$X$93)</f>
        <v>223.18658019352443</v>
      </c>
      <c r="E20" s="181">
        <f>SUMIF('Carga Ríg'!P$10:P$93,$B20,'Carga Ríg'!$X$10:$X$93)</f>
        <v>17.27058363037586</v>
      </c>
      <c r="F20" s="181">
        <f>SUMIF('Carga Ríg'!Q$10:Q$93,$B20,'Carga Ríg'!$X$10:$X$93)</f>
        <v>0</v>
      </c>
      <c r="G20" s="182">
        <f>SUMIF('Carga Ríg'!R$10:R$93,$B20,'Carga Ríg'!$X$10:$X$93)</f>
        <v>0</v>
      </c>
      <c r="H20" s="180">
        <f>SUMIF('Carga Ríg'!S$10:S$93,$B20,'Carga Ríg'!$X$10:$X$93)</f>
        <v>0</v>
      </c>
      <c r="I20" s="182">
        <f>SUMIF('Carga Ríg'!T$10:T$93,$B20,'Carga Ríg'!$X$10:$X$93)</f>
        <v>0</v>
      </c>
      <c r="J20" s="188">
        <f>SUMIF('Carga Ríg'!U$10:U$93,$B20,'Carga Ríg'!$X$10:$X$93)</f>
        <v>223.00312020589743</v>
      </c>
      <c r="L20" t="s">
        <v>184</v>
      </c>
      <c r="N20" s="209" t="s">
        <v>131</v>
      </c>
      <c r="O20" s="202">
        <v>16000</v>
      </c>
      <c r="P20" s="235">
        <f>0.029419*O20^0.64273</f>
        <v>14.816374362562264</v>
      </c>
      <c r="Q20" s="203"/>
      <c r="R20" s="218">
        <f>25.045*S20^-1.4132</f>
        <v>25.045</v>
      </c>
      <c r="S20" s="152">
        <v>1</v>
      </c>
    </row>
    <row r="21" spans="2:18" ht="12.75">
      <c r="B21" s="188">
        <v>14000</v>
      </c>
      <c r="C21" s="180">
        <f>SUMIF('Carga Ríg'!N$10:N$93,$B21,'Carga Ríg'!$X$10:$X$93)</f>
        <v>0</v>
      </c>
      <c r="D21" s="181">
        <f>SUMIF('Carga Ríg'!O$10:O$93,$B21,'Carga Ríg'!$X$10:$X$93)</f>
        <v>17.27058363037586</v>
      </c>
      <c r="E21" s="181">
        <f>SUMIF('Carga Ríg'!P$10:P$93,$B21,'Carga Ríg'!$X$10:$X$93)</f>
        <v>0</v>
      </c>
      <c r="F21" s="181">
        <f>SUMIF('Carga Ríg'!Q$10:Q$93,$B21,'Carga Ríg'!$X$10:$X$93)</f>
        <v>0</v>
      </c>
      <c r="G21" s="182">
        <f>SUMIF('Carga Ríg'!R$10:R$93,$B21,'Carga Ríg'!$X$10:$X$93)</f>
        <v>0</v>
      </c>
      <c r="H21" s="180">
        <f>SUMIF('Carga Ríg'!S$10:S$93,$B21,'Carga Ríg'!$X$10:$X$93)</f>
        <v>1755.5463961255286</v>
      </c>
      <c r="I21" s="182">
        <f>SUMIF('Carga Ríg'!T$10:T$93,$B21,'Carga Ríg'!$X$10:$X$93)</f>
        <v>0</v>
      </c>
      <c r="J21" s="188">
        <f>SUMIF('Carga Ríg'!U$10:U$93,$B21,'Carga Ríg'!$X$10:$X$93)</f>
        <v>0</v>
      </c>
      <c r="L21" t="s">
        <v>186</v>
      </c>
      <c r="N21" s="209" t="s">
        <v>127</v>
      </c>
      <c r="O21" s="202">
        <v>16000</v>
      </c>
      <c r="P21" s="217">
        <f>0.036819*O21^0.61316</f>
        <v>13.927404766556105</v>
      </c>
      <c r="Q21" s="203"/>
      <c r="R21" s="151" t="s">
        <v>139</v>
      </c>
    </row>
    <row r="22" spans="2:19" ht="12.75">
      <c r="B22" s="188">
        <v>15000</v>
      </c>
      <c r="C22" s="180">
        <f>SUMIF('Carga Ríg'!N$10:N$93,$B22,'Carga Ríg'!$X$10:$X$93)</f>
        <v>0</v>
      </c>
      <c r="D22" s="181">
        <f>SUMIF('Carga Ríg'!O$10:O$93,$B22,'Carga Ríg'!$X$10:$X$93)</f>
        <v>0</v>
      </c>
      <c r="E22" s="181">
        <f>SUMIF('Carga Ríg'!P$10:P$93,$B22,'Carga Ríg'!$X$10:$X$93)</f>
        <v>0</v>
      </c>
      <c r="F22" s="181">
        <f>SUMIF('Carga Ríg'!Q$10:Q$93,$B22,'Carga Ríg'!$X$10:$X$93)</f>
        <v>0</v>
      </c>
      <c r="G22" s="182">
        <f>SUMIF('Carga Ríg'!R$10:R$93,$B22,'Carga Ríg'!$X$10:$X$93)</f>
        <v>0</v>
      </c>
      <c r="H22" s="180">
        <f>SUMIF('Carga Ríg'!S$10:S$93,$B22,'Carga Ríg'!$X$10:$X$93)</f>
        <v>0</v>
      </c>
      <c r="I22" s="182">
        <f>SUMIF('Carga Ríg'!T$10:T$93,$B22,'Carga Ríg'!$X$10:$X$93)</f>
        <v>0</v>
      </c>
      <c r="J22" s="188">
        <f>SUMIF('Carga Ríg'!U$10:U$93,$B22,'Carga Ríg'!$X$10:$X$93)</f>
        <v>0</v>
      </c>
      <c r="L22" t="s">
        <v>187</v>
      </c>
      <c r="N22" s="209" t="s">
        <v>132</v>
      </c>
      <c r="O22" s="202">
        <v>16000</v>
      </c>
      <c r="P22" s="203">
        <f>0.032399*O22^0.62048</f>
        <v>13.155397425502006</v>
      </c>
      <c r="Q22" s="203"/>
      <c r="R22" s="204" t="s">
        <v>141</v>
      </c>
      <c r="S22" t="s">
        <v>140</v>
      </c>
    </row>
    <row r="23" spans="2:19" ht="12.75">
      <c r="B23" s="188">
        <v>16000</v>
      </c>
      <c r="C23" s="180">
        <f>SUMIF('Carga Ríg'!N$10:N$93,$B23,'Carga Ríg'!$X$10:$X$93)</f>
        <v>0</v>
      </c>
      <c r="D23" s="181">
        <f>SUMIF('Carga Ríg'!O$10:O$93,$B23,'Carga Ríg'!$X$10:$X$93)</f>
        <v>0</v>
      </c>
      <c r="E23" s="181">
        <f>SUMIF('Carga Ríg'!P$10:P$93,$B23,'Carga Ríg'!$X$10:$X$93)</f>
        <v>0</v>
      </c>
      <c r="F23" s="181">
        <f>SUMIF('Carga Ríg'!Q$10:Q$93,$B23,'Carga Ríg'!$X$10:$X$93)</f>
        <v>0</v>
      </c>
      <c r="G23" s="182">
        <f>SUMIF('Carga Ríg'!R$10:R$93,$B23,'Carga Ríg'!$X$10:$X$93)</f>
        <v>0</v>
      </c>
      <c r="H23" s="180">
        <f>SUMIF('Carga Ríg'!S$10:S$93,$B23,'Carga Ríg'!$X$10:$X$93)</f>
        <v>298.94621515256614</v>
      </c>
      <c r="I23" s="182">
        <f>SUMIF('Carga Ríg'!T$10:T$93,$B23,'Carga Ríg'!$X$10:$X$93)</f>
        <v>0</v>
      </c>
      <c r="J23" s="188">
        <f>SUMIF('Carga Ríg'!U$10:U$93,$B23,'Carga Ríg'!$X$10:$X$93)</f>
        <v>0</v>
      </c>
      <c r="L23" t="s">
        <v>188</v>
      </c>
      <c r="N23" s="209" t="s">
        <v>133</v>
      </c>
      <c r="O23" s="202">
        <v>16000</v>
      </c>
      <c r="P23" s="203">
        <f>0.03333*O23^0.61276</f>
        <v>12.558907861112218</v>
      </c>
      <c r="Q23" s="203"/>
      <c r="R23" s="204">
        <v>0.5</v>
      </c>
      <c r="S23" s="232">
        <f>6.8539*10^11*EXP(-28.0638*R23)</f>
        <v>552027.893817201</v>
      </c>
    </row>
    <row r="24" spans="2:10" ht="12.75">
      <c r="B24" s="188">
        <v>17000</v>
      </c>
      <c r="C24" s="180">
        <f>SUMIF('Carga Ríg'!N$10:N$93,$B24,'Carga Ríg'!$X$10:$X$93)</f>
        <v>0</v>
      </c>
      <c r="D24" s="181">
        <f>SUMIF('Carga Ríg'!O$10:O$93,$B24,'Carga Ríg'!$X$10:$X$93)</f>
        <v>0</v>
      </c>
      <c r="E24" s="181">
        <f>SUMIF('Carga Ríg'!P$10:P$93,$B24,'Carga Ríg'!$X$10:$X$93)</f>
        <v>0</v>
      </c>
      <c r="F24" s="181">
        <f>SUMIF('Carga Ríg'!Q$10:Q$93,$B24,'Carga Ríg'!$X$10:$X$93)</f>
        <v>0</v>
      </c>
      <c r="G24" s="182">
        <f>SUMIF('Carga Ríg'!R$10:R$93,$B24,'Carga Ríg'!$X$10:$X$93)</f>
        <v>0</v>
      </c>
      <c r="H24" s="180">
        <f>SUMIF('Carga Ríg'!S$10:S$93,$B24,'Carga Ríg'!$X$10:$X$93)</f>
        <v>0</v>
      </c>
      <c r="I24" s="182">
        <f>SUMIF('Carga Ríg'!T$10:T$93,$B24,'Carga Ríg'!$X$10:$X$93)</f>
        <v>0</v>
      </c>
      <c r="J24" s="188">
        <f>SUMIF('Carga Ríg'!U$10:U$93,$B24,'Carga Ríg'!$X$10:$X$93)</f>
        <v>0</v>
      </c>
    </row>
    <row r="25" spans="2:16" ht="12.75">
      <c r="B25" s="188">
        <v>18000</v>
      </c>
      <c r="C25" s="180">
        <f>SUMIF('Carga Ríg'!N$10:N$93,$B25,'Carga Ríg'!$X$10:$X$93)</f>
        <v>0</v>
      </c>
      <c r="D25" s="181">
        <f>SUMIF('Carga Ríg'!O$10:O$93,$B25,'Carga Ríg'!$X$10:$X$93)</f>
        <v>0</v>
      </c>
      <c r="E25" s="181">
        <f>SUMIF('Carga Ríg'!P$10:P$93,$B25,'Carga Ríg'!$X$10:$X$93)</f>
        <v>0</v>
      </c>
      <c r="F25" s="181">
        <f>SUMIF('Carga Ríg'!Q$10:Q$93,$B25,'Carga Ríg'!$X$10:$X$93)</f>
        <v>0</v>
      </c>
      <c r="G25" s="182">
        <f>SUMIF('Carga Ríg'!R$10:R$93,$B25,'Carga Ríg'!$X$10:$X$93)</f>
        <v>0</v>
      </c>
      <c r="H25" s="180">
        <f>SUMIF('Carga Ríg'!S$10:S$93,$B25,'Carga Ríg'!$X$10:$X$93)</f>
        <v>0</v>
      </c>
      <c r="I25" s="182">
        <f>SUMIF('Carga Ríg'!T$10:T$93,$B25,'Carga Ríg'!$X$10:$X$93)</f>
        <v>0</v>
      </c>
      <c r="J25" s="188">
        <f>SUMIF('Carga Ríg'!U$10:U$93,$B25,'Carga Ríg'!$X$10:$X$93)</f>
        <v>0</v>
      </c>
      <c r="L25" s="154" t="s">
        <v>102</v>
      </c>
      <c r="M25" s="503" t="s">
        <v>80</v>
      </c>
      <c r="N25" s="503"/>
      <c r="O25" s="500" t="s">
        <v>84</v>
      </c>
      <c r="P25" s="500"/>
    </row>
    <row r="26" spans="2:16" ht="12.75">
      <c r="B26" s="188">
        <v>19000</v>
      </c>
      <c r="C26" s="180">
        <f>SUMIF('Carga Ríg'!N$10:N$93,$B26,'Carga Ríg'!$X$10:$X$93)</f>
        <v>0</v>
      </c>
      <c r="D26" s="181">
        <f>SUMIF('Carga Ríg'!O$10:O$93,$B26,'Carga Ríg'!$X$10:$X$93)</f>
        <v>0</v>
      </c>
      <c r="E26" s="181">
        <f>SUMIF('Carga Ríg'!P$10:P$93,$B26,'Carga Ríg'!$X$10:$X$93)</f>
        <v>0</v>
      </c>
      <c r="F26" s="181">
        <f>SUMIF('Carga Ríg'!Q$10:Q$93,$B26,'Carga Ríg'!$X$10:$X$93)</f>
        <v>0</v>
      </c>
      <c r="G26" s="182">
        <f>SUMIF('Carga Ríg'!R$10:R$93,$B26,'Carga Ríg'!$X$10:$X$93)</f>
        <v>0</v>
      </c>
      <c r="H26" s="180">
        <f>SUMIF('Carga Ríg'!S$10:S$93,$B26,'Carga Ríg'!$X$10:$X$93)</f>
        <v>207.31763989837685</v>
      </c>
      <c r="I26" s="182">
        <f>SUMIF('Carga Ríg'!T$10:T$93,$B26,'Carga Ríg'!$X$10:$X$93)</f>
        <v>0</v>
      </c>
      <c r="J26" s="188">
        <f>SUMIF('Carga Ríg'!U$10:U$93,$B26,'Carga Ríg'!$X$10:$X$93)</f>
        <v>0</v>
      </c>
      <c r="L26" s="154">
        <v>1</v>
      </c>
      <c r="M26" s="501" t="str">
        <f>'Pav Flex'!F35</f>
        <v>CBR 20% </v>
      </c>
      <c r="N26" s="501"/>
      <c r="O26" s="502">
        <f>'Pav Flex'!H35</f>
        <v>18</v>
      </c>
      <c r="P26" s="502"/>
    </row>
    <row r="27" spans="2:16" ht="12.75">
      <c r="B27" s="188">
        <v>20000</v>
      </c>
      <c r="C27" s="180">
        <f>SUMIF('Carga Ríg'!N$10:N$93,$B27,'Carga Ríg'!$X$10:$X$93)</f>
        <v>0</v>
      </c>
      <c r="D27" s="181">
        <f>SUMIF('Carga Ríg'!O$10:O$93,$B27,'Carga Ríg'!$X$10:$X$93)</f>
        <v>0</v>
      </c>
      <c r="E27" s="181">
        <f>SUMIF('Carga Ríg'!P$10:P$93,$B27,'Carga Ríg'!$X$10:$X$93)</f>
        <v>0</v>
      </c>
      <c r="F27" s="181">
        <f>SUMIF('Carga Ríg'!Q$10:Q$93,$B27,'Carga Ríg'!$X$10:$X$93)</f>
        <v>0</v>
      </c>
      <c r="G27" s="182">
        <f>SUMIF('Carga Ríg'!R$10:R$93,$B27,'Carga Ríg'!$X$10:$X$93)</f>
        <v>0</v>
      </c>
      <c r="H27" s="180">
        <f>SUMIF('Carga Ríg'!S$10:S$93,$B27,'Carga Ríg'!$X$10:$X$93)</f>
        <v>665.1138499364689</v>
      </c>
      <c r="I27" s="182">
        <f>SUMIF('Carga Ríg'!T$10:T$93,$B27,'Carga Ríg'!$X$10:$X$93)</f>
        <v>0</v>
      </c>
      <c r="J27" s="188">
        <f>SUMIF('Carga Ríg'!U$10:U$93,$B27,'Carga Ríg'!$X$10:$X$93)</f>
        <v>0</v>
      </c>
      <c r="L27" s="154">
        <v>2</v>
      </c>
      <c r="M27" s="501" t="str">
        <f>'Pav Flex'!F36</f>
        <v>CBR 40%</v>
      </c>
      <c r="N27" s="501"/>
      <c r="O27" s="502">
        <f>'Pav Flex'!H36</f>
        <v>22</v>
      </c>
      <c r="P27" s="502"/>
    </row>
    <row r="28" spans="2:16" ht="12.75">
      <c r="B28" s="188">
        <v>21000</v>
      </c>
      <c r="C28" s="180">
        <f>SUMIF('Carga Ríg'!N$10:N$93,$B28,'Carga Ríg'!$X$10:$X$93)</f>
        <v>0</v>
      </c>
      <c r="D28" s="181">
        <f>SUMIF('Carga Ríg'!O$10:O$93,$B28,'Carga Ríg'!$X$10:$X$93)</f>
        <v>0</v>
      </c>
      <c r="E28" s="181">
        <f>SUMIF('Carga Ríg'!P$10:P$93,$B28,'Carga Ríg'!$X$10:$X$93)</f>
        <v>0</v>
      </c>
      <c r="F28" s="181">
        <f>SUMIF('Carga Ríg'!Q$10:Q$93,$B28,'Carga Ríg'!$X$10:$X$93)</f>
        <v>0</v>
      </c>
      <c r="G28" s="182">
        <f>SUMIF('Carga Ríg'!R$10:R$93,$B28,'Carga Ríg'!$X$10:$X$93)</f>
        <v>0</v>
      </c>
      <c r="H28" s="180">
        <f>SUMIF('Carga Ríg'!S$10:S$93,$B28,'Carga Ríg'!$X$10:$X$93)</f>
        <v>0</v>
      </c>
      <c r="I28" s="182">
        <f>SUMIF('Carga Ríg'!T$10:T$93,$B28,'Carga Ríg'!$X$10:$X$93)</f>
        <v>0</v>
      </c>
      <c r="J28" s="188">
        <f>SUMIF('Carga Ríg'!U$10:U$93,$B28,'Carga Ríg'!$X$10:$X$93)</f>
        <v>0</v>
      </c>
      <c r="L28" s="154">
        <v>3</v>
      </c>
      <c r="M28" s="501" t="str">
        <f>'Pav Flex'!F37</f>
        <v>CBR 80%</v>
      </c>
      <c r="N28" s="501"/>
      <c r="O28" s="502">
        <f>'Pav Flex'!H37</f>
        <v>26</v>
      </c>
      <c r="P28" s="502"/>
    </row>
    <row r="29" spans="2:16" ht="12.75">
      <c r="B29" s="188">
        <v>22000</v>
      </c>
      <c r="C29" s="180">
        <f>SUMIF('Carga Ríg'!N$10:N$93,$B29,'Carga Ríg'!$X$10:$X$93)</f>
        <v>0</v>
      </c>
      <c r="D29" s="181">
        <f>SUMIF('Carga Ríg'!O$10:O$93,$B29,'Carga Ríg'!$X$10:$X$93)</f>
        <v>0</v>
      </c>
      <c r="E29" s="181">
        <f>SUMIF('Carga Ríg'!P$10:P$93,$B29,'Carga Ríg'!$X$10:$X$93)</f>
        <v>0</v>
      </c>
      <c r="F29" s="181">
        <f>SUMIF('Carga Ríg'!Q$10:Q$93,$B29,'Carga Ríg'!$X$10:$X$93)</f>
        <v>0</v>
      </c>
      <c r="G29" s="182">
        <f>SUMIF('Carga Ríg'!R$10:R$93,$B29,'Carga Ríg'!$X$10:$X$93)</f>
        <v>0</v>
      </c>
      <c r="H29" s="180">
        <f>SUMIF('Carga Ríg'!S$10:S$93,$B29,'Carga Ríg'!$X$10:$X$93)</f>
        <v>368.32536542984354</v>
      </c>
      <c r="I29" s="182">
        <f>SUMIF('Carga Ríg'!T$10:T$93,$B29,'Carga Ríg'!$X$10:$X$93)</f>
        <v>0</v>
      </c>
      <c r="J29" s="188">
        <f>SUMIF('Carga Ríg'!U$10:U$93,$B29,'Carga Ríg'!$X$10:$X$93)</f>
        <v>0</v>
      </c>
      <c r="L29" s="154">
        <v>5</v>
      </c>
      <c r="M29" s="501" t="str">
        <f>'Pav Flex'!F39</f>
        <v>Base Cementada</v>
      </c>
      <c r="N29" s="501"/>
      <c r="O29" s="502">
        <f>'Pav Flex'!H39</f>
        <v>43</v>
      </c>
      <c r="P29" s="502"/>
    </row>
    <row r="30" spans="2:16" ht="12.75">
      <c r="B30" s="188">
        <v>23000</v>
      </c>
      <c r="C30" s="180">
        <f>SUMIF('Carga Ríg'!N$10:N$93,$B30,'Carga Ríg'!$X$10:$X$93)</f>
        <v>0</v>
      </c>
      <c r="D30" s="181">
        <f>SUMIF('Carga Ríg'!O$10:O$93,$B30,'Carga Ríg'!$X$10:$X$93)</f>
        <v>0</v>
      </c>
      <c r="E30" s="181">
        <f>SUMIF('Carga Ríg'!P$10:P$93,$B30,'Carga Ríg'!$X$10:$X$93)</f>
        <v>0</v>
      </c>
      <c r="F30" s="181">
        <f>SUMIF('Carga Ríg'!Q$10:Q$93,$B30,'Carga Ríg'!$X$10:$X$93)</f>
        <v>0</v>
      </c>
      <c r="G30" s="182">
        <f>SUMIF('Carga Ríg'!R$10:R$93,$B30,'Carga Ríg'!$X$10:$X$93)</f>
        <v>0</v>
      </c>
      <c r="H30" s="180">
        <f>SUMIF('Carga Ríg'!S$10:S$93,$B30,'Carga Ríg'!$X$10:$X$93)</f>
        <v>137.60976205582114</v>
      </c>
      <c r="I30" s="182">
        <f>SUMIF('Carga Ríg'!T$10:T$93,$B30,'Carga Ríg'!$X$10:$X$93)</f>
        <v>0</v>
      </c>
      <c r="J30" s="188">
        <f>SUMIF('Carga Ríg'!U$10:U$93,$B30,'Carga Ríg'!$X$10:$X$93)</f>
        <v>0</v>
      </c>
      <c r="L30" s="154">
        <v>6</v>
      </c>
      <c r="M30" s="501" t="str">
        <f>'Pav Flex'!F40</f>
        <v>Mezcla asfáltica</v>
      </c>
      <c r="N30" s="501"/>
      <c r="O30" s="508">
        <f>'Pav Flex'!H40</f>
        <v>95</v>
      </c>
      <c r="P30" s="508"/>
    </row>
    <row r="31" spans="2:16" ht="12.75">
      <c r="B31" s="188">
        <v>24000</v>
      </c>
      <c r="C31" s="180">
        <f>SUMIF('Carga Ríg'!N$10:N$93,$B31,'Carga Ríg'!$X$10:$X$93)</f>
        <v>0</v>
      </c>
      <c r="D31" s="181">
        <f>SUMIF('Carga Ríg'!O$10:O$93,$B31,'Carga Ríg'!$X$10:$X$93)</f>
        <v>0</v>
      </c>
      <c r="E31" s="181">
        <f>SUMIF('Carga Ríg'!P$10:P$93,$B31,'Carga Ríg'!$X$10:$X$93)</f>
        <v>0</v>
      </c>
      <c r="F31" s="181">
        <f>SUMIF('Carga Ríg'!Q$10:Q$93,$B31,'Carga Ríg'!$X$10:$X$93)</f>
        <v>0</v>
      </c>
      <c r="G31" s="182">
        <f>SUMIF('Carga Ríg'!R$10:R$93,$B31,'Carga Ríg'!$X$10:$X$93)</f>
        <v>0</v>
      </c>
      <c r="H31" s="180">
        <f>SUMIF('Carga Ríg'!S$10:S$93,$B31,'Carga Ríg'!$X$10:$X$93)</f>
        <v>0</v>
      </c>
      <c r="I31" s="182">
        <f>SUMIF('Carga Ríg'!T$10:T$93,$B31,'Carga Ríg'!$X$10:$X$93)</f>
        <v>0</v>
      </c>
      <c r="J31" s="188">
        <f>SUMIF('Carga Ríg'!U$10:U$93,$B31,'Carga Ríg'!$X$10:$X$93)</f>
        <v>153.03148655212829</v>
      </c>
      <c r="L31" s="154">
        <v>7</v>
      </c>
      <c r="M31" s="501" t="str">
        <f>'Pav Flex'!F41</f>
        <v>Hormigón</v>
      </c>
      <c r="N31" s="501"/>
      <c r="O31" s="502">
        <f>'Pav Flex'!H41</f>
        <v>380</v>
      </c>
      <c r="P31" s="502"/>
    </row>
    <row r="32" spans="2:16" ht="12.75">
      <c r="B32" s="188">
        <v>25000</v>
      </c>
      <c r="C32" s="180">
        <f>SUMIF('Carga Ríg'!N$10:N$93,$B32,'Carga Ríg'!$X$10:$X$93)</f>
        <v>0</v>
      </c>
      <c r="D32" s="181">
        <f>SUMIF('Carga Ríg'!O$10:O$93,$B32,'Carga Ríg'!$X$10:$X$93)</f>
        <v>0</v>
      </c>
      <c r="E32" s="181">
        <f>SUMIF('Carga Ríg'!P$10:P$93,$B32,'Carga Ríg'!$X$10:$X$93)</f>
        <v>0</v>
      </c>
      <c r="F32" s="181">
        <f>SUMIF('Carga Ríg'!Q$10:Q$93,$B32,'Carga Ríg'!$X$10:$X$93)</f>
        <v>0</v>
      </c>
      <c r="G32" s="182">
        <f>SUMIF('Carga Ríg'!R$10:R$93,$B32,'Carga Ríg'!$X$10:$X$93)</f>
        <v>0</v>
      </c>
      <c r="H32" s="180">
        <f>SUMIF('Carga Ríg'!S$10:S$93,$B32,'Carga Ríg'!$X$10:$X$93)</f>
        <v>0</v>
      </c>
      <c r="I32" s="182">
        <f>SUMIF('Carga Ríg'!T$10:T$93,$B32,'Carga Ríg'!$X$10:$X$93)</f>
        <v>0</v>
      </c>
      <c r="J32" s="188">
        <f>SUMIF('Carga Ríg'!U$10:U$93,$B32,'Carga Ríg'!$X$10:$X$93)</f>
        <v>0</v>
      </c>
      <c r="L32" s="154">
        <v>8</v>
      </c>
      <c r="M32" s="501" t="str">
        <f>'Pav Flex'!F42</f>
        <v>Riego imprimación</v>
      </c>
      <c r="N32" s="501"/>
      <c r="O32" s="507">
        <f>'Pav Flex'!H42</f>
        <v>1.6</v>
      </c>
      <c r="P32" s="507"/>
    </row>
    <row r="33" spans="2:16" ht="12.75">
      <c r="B33" s="188">
        <v>26000</v>
      </c>
      <c r="C33" s="180">
        <f>SUMIF('Carga Ríg'!N$10:N$93,$B33,'Carga Ríg'!$X$10:$X$93)</f>
        <v>0</v>
      </c>
      <c r="D33" s="181">
        <f>SUMIF('Carga Ríg'!O$10:O$93,$B33,'Carga Ríg'!$X$10:$X$93)</f>
        <v>0</v>
      </c>
      <c r="E33" s="181">
        <f>SUMIF('Carga Ríg'!P$10:P$93,$B33,'Carga Ríg'!$X$10:$X$93)</f>
        <v>0</v>
      </c>
      <c r="F33" s="181">
        <f>SUMIF('Carga Ríg'!Q$10:Q$93,$B33,'Carga Ríg'!$X$10:$X$93)</f>
        <v>0</v>
      </c>
      <c r="G33" s="182">
        <f>SUMIF('Carga Ríg'!R$10:R$93,$B33,'Carga Ríg'!$X$10:$X$93)</f>
        <v>0</v>
      </c>
      <c r="H33" s="180">
        <f>SUMIF('Carga Ríg'!S$10:S$93,$B33,'Carga Ríg'!$X$10:$X$93)</f>
        <v>0</v>
      </c>
      <c r="I33" s="182">
        <f>SUMIF('Carga Ríg'!T$10:T$93,$B33,'Carga Ríg'!$X$10:$X$93)</f>
        <v>0</v>
      </c>
      <c r="J33" s="188">
        <f>SUMIF('Carga Ríg'!U$10:U$93,$B33,'Carga Ríg'!$X$10:$X$93)</f>
        <v>0</v>
      </c>
      <c r="L33" s="204"/>
      <c r="M33" s="501" t="str">
        <f>'Pav Flex'!F44</f>
        <v>Ancho calzada</v>
      </c>
      <c r="N33" s="501"/>
      <c r="O33" s="506">
        <f>'Pav Flex'!H44</f>
        <v>7.2</v>
      </c>
      <c r="P33" s="506"/>
    </row>
    <row r="34" spans="2:16" ht="12.75">
      <c r="B34" s="188">
        <v>27000</v>
      </c>
      <c r="C34" s="180">
        <f>SUMIF('Carga Ríg'!N$10:N$93,$B34,'Carga Ríg'!$X$10:$X$93)</f>
        <v>0</v>
      </c>
      <c r="D34" s="181">
        <f>SUMIF('Carga Ríg'!O$10:O$93,$B34,'Carga Ríg'!$X$10:$X$93)</f>
        <v>0</v>
      </c>
      <c r="E34" s="181">
        <f>SUMIF('Carga Ríg'!P$10:P$93,$B34,'Carga Ríg'!$X$10:$X$93)</f>
        <v>0</v>
      </c>
      <c r="F34" s="181">
        <f>SUMIF('Carga Ríg'!Q$10:Q$93,$B34,'Carga Ríg'!$X$10:$X$93)</f>
        <v>0</v>
      </c>
      <c r="G34" s="182">
        <f>SUMIF('Carga Ríg'!R$10:R$93,$B34,'Carga Ríg'!$X$10:$X$93)</f>
        <v>0</v>
      </c>
      <c r="H34" s="180">
        <f>SUMIF('Carga Ríg'!S$10:S$93,$B34,'Carga Ríg'!$X$10:$X$93)</f>
        <v>0</v>
      </c>
      <c r="I34" s="182">
        <f>SUMIF('Carga Ríg'!T$10:T$93,$B34,'Carga Ríg'!$X$10:$X$93)</f>
        <v>0</v>
      </c>
      <c r="J34" s="188">
        <f>SUMIF('Carga Ríg'!U$10:U$93,$B34,'Carga Ríg'!$X$10:$X$93)</f>
        <v>0</v>
      </c>
      <c r="L34" s="204"/>
      <c r="M34" s="501" t="str">
        <f>'Pav Flex'!F45</f>
        <v>Ancho banquina</v>
      </c>
      <c r="N34" s="501"/>
      <c r="O34" s="506">
        <f>'Pav Flex'!H45</f>
        <v>2.4</v>
      </c>
      <c r="P34" s="506"/>
    </row>
    <row r="35" spans="2:16" ht="12.75">
      <c r="B35" s="188">
        <v>28000</v>
      </c>
      <c r="C35" s="180">
        <f>SUMIF('Carga Ríg'!N$10:N$93,$B35,'Carga Ríg'!$X$10:$X$93)</f>
        <v>0</v>
      </c>
      <c r="D35" s="181">
        <f>SUMIF('Carga Ríg'!O$10:O$93,$B35,'Carga Ríg'!$X$10:$X$93)</f>
        <v>0</v>
      </c>
      <c r="E35" s="181">
        <f>SUMIF('Carga Ríg'!P$10:P$93,$B35,'Carga Ríg'!$X$10:$X$93)</f>
        <v>0</v>
      </c>
      <c r="F35" s="181">
        <f>SUMIF('Carga Ríg'!Q$10:Q$93,$B35,'Carga Ríg'!$X$10:$X$93)</f>
        <v>0</v>
      </c>
      <c r="G35" s="182">
        <f>SUMIF('Carga Ríg'!R$10:R$93,$B35,'Carga Ríg'!$X$10:$X$93)</f>
        <v>0</v>
      </c>
      <c r="H35" s="180">
        <f>SUMIF('Carga Ríg'!S$10:S$93,$B35,'Carga Ríg'!$X$10:$X$93)</f>
        <v>0</v>
      </c>
      <c r="I35" s="182">
        <f>SUMIF('Carga Ríg'!T$10:T$93,$B35,'Carga Ríg'!$X$10:$X$93)</f>
        <v>0</v>
      </c>
      <c r="J35" s="188">
        <f>SUMIF('Carga Ríg'!U$10:U$93,$B35,'Carga Ríg'!$X$10:$X$93)</f>
        <v>0</v>
      </c>
      <c r="L35" s="204"/>
      <c r="M35" s="501" t="str">
        <f>'Pav Flex'!F46</f>
        <v>Mezcla en banq.</v>
      </c>
      <c r="N35" s="501"/>
      <c r="O35" s="509">
        <f>'Pav Flex'!H46</f>
        <v>5</v>
      </c>
      <c r="P35" s="509"/>
    </row>
    <row r="36" spans="2:16" ht="12.75">
      <c r="B36" s="188">
        <v>29000</v>
      </c>
      <c r="C36" s="180">
        <f>SUMIF('Carga Ríg'!N$10:N$93,$B36,'Carga Ríg'!$X$10:$X$93)</f>
        <v>0</v>
      </c>
      <c r="D36" s="181">
        <f>SUMIF('Carga Ríg'!O$10:O$93,$B36,'Carga Ríg'!$X$10:$X$93)</f>
        <v>0</v>
      </c>
      <c r="E36" s="181">
        <f>SUMIF('Carga Ríg'!P$10:P$93,$B36,'Carga Ríg'!$X$10:$X$93)</f>
        <v>0</v>
      </c>
      <c r="F36" s="181">
        <f>SUMIF('Carga Ríg'!Q$10:Q$93,$B36,'Carga Ríg'!$X$10:$X$93)</f>
        <v>0</v>
      </c>
      <c r="G36" s="182">
        <f>SUMIF('Carga Ríg'!R$10:R$93,$B36,'Carga Ríg'!$X$10:$X$93)</f>
        <v>0</v>
      </c>
      <c r="H36" s="180">
        <f>SUMIF('Carga Ríg'!S$10:S$93,$B36,'Carga Ríg'!$X$10:$X$93)</f>
        <v>0</v>
      </c>
      <c r="I36" s="182">
        <f>SUMIF('Carga Ríg'!T$10:T$93,$B36,'Carga Ríg'!$X$10:$X$93)</f>
        <v>0</v>
      </c>
      <c r="J36" s="188">
        <f>SUMIF('Carga Ríg'!U$10:U$93,$B36,'Carga Ríg'!$X$10:$X$93)</f>
        <v>0</v>
      </c>
      <c r="L36" s="204"/>
      <c r="M36" s="501" t="str">
        <f>'Pav Flex'!F47</f>
        <v>Densidad Mezcla</v>
      </c>
      <c r="N36" s="501"/>
      <c r="O36" s="510">
        <f>'Pav Flex'!H47</f>
        <v>2.4</v>
      </c>
      <c r="P36" s="510"/>
    </row>
    <row r="37" spans="2:10" ht="12.75">
      <c r="B37" s="188">
        <v>30000</v>
      </c>
      <c r="C37" s="180">
        <f>SUMIF('Carga Ríg'!N$10:N$93,$B37,'Carga Ríg'!$X$10:$X$93)</f>
        <v>0</v>
      </c>
      <c r="D37" s="181">
        <f>SUMIF('Carga Ríg'!O$10:O$93,$B37,'Carga Ríg'!$X$10:$X$93)</f>
        <v>0</v>
      </c>
      <c r="E37" s="181">
        <f>SUMIF('Carga Ríg'!P$10:P$93,$B37,'Carga Ríg'!$X$10:$X$93)</f>
        <v>0</v>
      </c>
      <c r="F37" s="181">
        <f>SUMIF('Carga Ríg'!Q$10:Q$93,$B37,'Carga Ríg'!$X$10:$X$93)</f>
        <v>0</v>
      </c>
      <c r="G37" s="182">
        <f>SUMIF('Carga Ríg'!R$10:R$93,$B37,'Carga Ríg'!$X$10:$X$93)</f>
        <v>0</v>
      </c>
      <c r="H37" s="180">
        <f>SUMIF('Carga Ríg'!S$10:S$93,$B37,'Carga Ríg'!$X$10:$X$93)</f>
        <v>0</v>
      </c>
      <c r="I37" s="182">
        <f>SUMIF('Carga Ríg'!T$10:T$93,$B37,'Carga Ríg'!$X$10:$X$93)</f>
        <v>0</v>
      </c>
      <c r="J37" s="188">
        <f>SUMIF('Carga Ríg'!U$10:U$93,$B37,'Carga Ríg'!$X$10:$X$93)</f>
        <v>0</v>
      </c>
    </row>
    <row r="38" spans="2:10" ht="12.75">
      <c r="B38" s="188">
        <v>31000</v>
      </c>
      <c r="C38" s="180">
        <f>SUMIF('Carga Ríg'!N$10:N$93,$B38,'Carga Ríg'!$X$10:$X$93)</f>
        <v>0</v>
      </c>
      <c r="D38" s="181">
        <f>SUMIF('Carga Ríg'!O$10:O$93,$B38,'Carga Ríg'!$X$10:$X$93)</f>
        <v>0</v>
      </c>
      <c r="E38" s="181">
        <f>SUMIF('Carga Ríg'!P$10:P$93,$B38,'Carga Ríg'!$X$10:$X$93)</f>
        <v>0</v>
      </c>
      <c r="F38" s="181">
        <f>SUMIF('Carga Ríg'!Q$10:Q$93,$B38,'Carga Ríg'!$X$10:$X$93)</f>
        <v>0</v>
      </c>
      <c r="G38" s="182">
        <f>SUMIF('Carga Ríg'!R$10:R$93,$B38,'Carga Ríg'!$X$10:$X$93)</f>
        <v>0</v>
      </c>
      <c r="H38" s="180">
        <f>SUMIF('Carga Ríg'!S$10:S$93,$B38,'Carga Ríg'!$X$10:$X$93)</f>
        <v>0</v>
      </c>
      <c r="I38" s="182">
        <f>SUMIF('Carga Ríg'!T$10:T$93,$B38,'Carga Ríg'!$X$10:$X$93)</f>
        <v>0</v>
      </c>
      <c r="J38" s="188">
        <f>SUMIF('Carga Ríg'!U$10:U$93,$B38,'Carga Ríg'!$X$10:$X$93)</f>
        <v>85.57681813770331</v>
      </c>
    </row>
    <row r="39" spans="2:10" ht="12.75">
      <c r="B39" s="188">
        <v>32000</v>
      </c>
      <c r="C39" s="180">
        <f>SUMIF('Carga Ríg'!N$10:N$93,$B39,'Carga Ríg'!$X$10:$X$93)</f>
        <v>0</v>
      </c>
      <c r="D39" s="181">
        <f>SUMIF('Carga Ríg'!O$10:O$93,$B39,'Carga Ríg'!$X$10:$X$93)</f>
        <v>0</v>
      </c>
      <c r="E39" s="181">
        <f>SUMIF('Carga Ríg'!P$10:P$93,$B39,'Carga Ríg'!$X$10:$X$93)</f>
        <v>0</v>
      </c>
      <c r="F39" s="181">
        <f>SUMIF('Carga Ríg'!Q$10:Q$93,$B39,'Carga Ríg'!$X$10:$X$93)</f>
        <v>0</v>
      </c>
      <c r="G39" s="182">
        <f>SUMIF('Carga Ríg'!R$10:R$93,$B39,'Carga Ríg'!$X$10:$X$93)</f>
        <v>0</v>
      </c>
      <c r="H39" s="180">
        <f>SUMIF('Carga Ríg'!S$10:S$93,$B39,'Carga Ríg'!$X$10:$X$93)</f>
        <v>0</v>
      </c>
      <c r="I39" s="182">
        <f>SUMIF('Carga Ríg'!T$10:T$93,$B39,'Carga Ríg'!$X$10:$X$93)</f>
        <v>0</v>
      </c>
      <c r="J39" s="188">
        <f>SUMIF('Carga Ríg'!U$10:U$93,$B39,'Carga Ríg'!$X$10:$X$93)</f>
        <v>0</v>
      </c>
    </row>
    <row r="40" spans="2:10" ht="12.75">
      <c r="B40" s="188">
        <v>33000</v>
      </c>
      <c r="C40" s="180">
        <f>SUMIF('Carga Ríg'!N$10:N$93,$B40,'Carga Ríg'!$X$10:$X$93)</f>
        <v>0</v>
      </c>
      <c r="D40" s="181">
        <f>SUMIF('Carga Ríg'!O$10:O$93,$B40,'Carga Ríg'!$X$10:$X$93)</f>
        <v>0</v>
      </c>
      <c r="E40" s="181">
        <f>SUMIF('Carga Ríg'!P$10:P$93,$B40,'Carga Ríg'!$X$10:$X$93)</f>
        <v>0</v>
      </c>
      <c r="F40" s="181">
        <f>SUMIF('Carga Ríg'!Q$10:Q$93,$B40,'Carga Ríg'!$X$10:$X$93)</f>
        <v>0</v>
      </c>
      <c r="G40" s="182">
        <f>SUMIF('Carga Ríg'!R$10:R$93,$B40,'Carga Ríg'!$X$10:$X$93)</f>
        <v>0</v>
      </c>
      <c r="H40" s="180">
        <f>SUMIF('Carga Ríg'!S$10:S$93,$B40,'Carga Ríg'!$X$10:$X$93)</f>
        <v>0</v>
      </c>
      <c r="I40" s="182">
        <f>SUMIF('Carga Ríg'!T$10:T$93,$B40,'Carga Ríg'!$X$10:$X$93)</f>
        <v>0</v>
      </c>
      <c r="J40" s="188">
        <f>SUMIF('Carga Ríg'!U$10:U$93,$B40,'Carga Ríg'!$X$10:$X$93)</f>
        <v>0</v>
      </c>
    </row>
    <row r="41" spans="2:10" ht="12.75">
      <c r="B41" s="188">
        <v>34000</v>
      </c>
      <c r="C41" s="180">
        <f>SUMIF('Carga Ríg'!N$10:N$93,$B41,'Carga Ríg'!$X$10:$X$93)</f>
        <v>0</v>
      </c>
      <c r="D41" s="181">
        <f>SUMIF('Carga Ríg'!O$10:O$93,$B41,'Carga Ríg'!$X$10:$X$93)</f>
        <v>0</v>
      </c>
      <c r="E41" s="181">
        <f>SUMIF('Carga Ríg'!P$10:P$93,$B41,'Carga Ríg'!$X$10:$X$93)</f>
        <v>0</v>
      </c>
      <c r="F41" s="181">
        <f>SUMIF('Carga Ríg'!Q$10:Q$93,$B41,'Carga Ríg'!$X$10:$X$93)</f>
        <v>0</v>
      </c>
      <c r="G41" s="182">
        <f>SUMIF('Carga Ríg'!R$10:R$93,$B41,'Carga Ríg'!$X$10:$X$93)</f>
        <v>0</v>
      </c>
      <c r="H41" s="180">
        <f>SUMIF('Carga Ríg'!S$10:S$93,$B41,'Carga Ríg'!$X$10:$X$93)</f>
        <v>0</v>
      </c>
      <c r="I41" s="182">
        <f>SUMIF('Carga Ríg'!T$10:T$93,$B41,'Carga Ríg'!$X$10:$X$93)</f>
        <v>0</v>
      </c>
      <c r="J41" s="188">
        <f>SUMIF('Carga Ríg'!U$10:U$93,$B41,'Carga Ríg'!$X$10:$X$93)</f>
        <v>0</v>
      </c>
    </row>
    <row r="42" spans="2:10" ht="12.75">
      <c r="B42" s="189">
        <v>35000</v>
      </c>
      <c r="C42" s="183">
        <f>SUMIF('Carga Ríg'!N$10:N$93,$B42,'Carga Ríg'!$X$10:$X$93)</f>
        <v>0</v>
      </c>
      <c r="D42" s="184">
        <f>SUMIF('Carga Ríg'!O$10:O$93,$B42,'Carga Ríg'!$X$10:$X$93)</f>
        <v>0</v>
      </c>
      <c r="E42" s="184">
        <f>SUMIF('Carga Ríg'!P$10:P$93,$B42,'Carga Ríg'!$X$10:$X$93)</f>
        <v>0</v>
      </c>
      <c r="F42" s="184">
        <f>SUMIF('Carga Ríg'!Q$10:Q$93,$B42,'Carga Ríg'!$X$10:$X$93)</f>
        <v>0</v>
      </c>
      <c r="G42" s="185">
        <f>SUMIF('Carga Ríg'!R$10:R$93,$B42,'Carga Ríg'!$X$10:$X$93)</f>
        <v>0</v>
      </c>
      <c r="H42" s="183">
        <f>SUMIF('Carga Ríg'!S$10:S$93,$B42,'Carga Ríg'!$X$10:$X$93)</f>
        <v>0</v>
      </c>
      <c r="I42" s="185">
        <f>SUMIF('Carga Ríg'!T$10:T$93,$B42,'Carga Ríg'!$X$10:$X$93)</f>
        <v>0</v>
      </c>
      <c r="J42" s="189">
        <f>SUMIF('Carga Ríg'!U$10:U$93,$B42,'Carga Ríg'!$X$10:$X$93)</f>
        <v>0</v>
      </c>
    </row>
    <row r="43" spans="2:10" ht="12.75">
      <c r="B43" s="287"/>
      <c r="C43" s="288"/>
      <c r="D43" s="288"/>
      <c r="E43" s="288"/>
      <c r="F43" s="288"/>
      <c r="G43" s="298">
        <f>SUM(C9:G42)</f>
        <v>14484.806881193743</v>
      </c>
      <c r="H43" s="298"/>
      <c r="I43" s="298">
        <f>SUM(H9:I42)</f>
        <v>4704.6923499941795</v>
      </c>
      <c r="J43" s="298">
        <f>SUM(J9:J42)</f>
        <v>482.7539329062204</v>
      </c>
    </row>
    <row r="44" spans="2:10" ht="12.75">
      <c r="B44" s="287"/>
      <c r="C44" s="288"/>
      <c r="D44" s="288"/>
      <c r="E44" s="288"/>
      <c r="F44" s="288"/>
      <c r="G44" s="298">
        <f>'Carga Ríg'!W95</f>
        <v>14484.806881193741</v>
      </c>
      <c r="H44" s="298"/>
      <c r="I44" s="298">
        <f>'Carga Ríg'!W96</f>
        <v>4704.692349994179</v>
      </c>
      <c r="J44" s="298">
        <f>'Carga Ríg'!W97</f>
        <v>482.7539329062204</v>
      </c>
    </row>
    <row r="45" spans="2:10" ht="12.75">
      <c r="B45" s="287"/>
      <c r="C45" s="288"/>
      <c r="D45" s="288"/>
      <c r="E45" s="288"/>
      <c r="F45" s="288"/>
      <c r="G45" s="288"/>
      <c r="H45" s="288"/>
      <c r="I45" s="288"/>
      <c r="J45" s="287"/>
    </row>
    <row r="46" spans="2:18" ht="12.75">
      <c r="B46" s="151" t="s">
        <v>149</v>
      </c>
      <c r="Q46" s="158"/>
      <c r="R46" s="152"/>
    </row>
    <row r="47" ht="6" customHeight="1"/>
    <row r="48" spans="2:11" ht="12.75">
      <c r="B48" s="198" t="s">
        <v>128</v>
      </c>
      <c r="C48" s="491" t="s">
        <v>109</v>
      </c>
      <c r="D48" s="492"/>
      <c r="E48" s="493"/>
      <c r="F48" s="491" t="s">
        <v>114</v>
      </c>
      <c r="G48" s="492"/>
      <c r="H48" s="493"/>
      <c r="I48" s="491" t="s">
        <v>113</v>
      </c>
      <c r="J48" s="492"/>
      <c r="K48" s="493"/>
    </row>
    <row r="49" spans="2:11" ht="12.75">
      <c r="B49" s="199" t="s">
        <v>115</v>
      </c>
      <c r="C49" s="174" t="s">
        <v>110</v>
      </c>
      <c r="D49" s="175" t="s">
        <v>111</v>
      </c>
      <c r="E49" s="176" t="s">
        <v>112</v>
      </c>
      <c r="F49" s="174" t="s">
        <v>110</v>
      </c>
      <c r="G49" s="175" t="s">
        <v>111</v>
      </c>
      <c r="H49" s="176" t="s">
        <v>112</v>
      </c>
      <c r="I49" s="174" t="s">
        <v>110</v>
      </c>
      <c r="J49" s="175" t="s">
        <v>111</v>
      </c>
      <c r="K49" s="176" t="s">
        <v>112</v>
      </c>
    </row>
    <row r="50" spans="2:11" ht="12.75">
      <c r="B50" s="187">
        <v>2000</v>
      </c>
      <c r="C50" s="190">
        <f aca="true" t="shared" si="0" ref="C50:C83">SUM(C9:G9)</f>
        <v>0</v>
      </c>
      <c r="D50" s="191">
        <f>SUM(C50:C$83)</f>
        <v>14484.806881193745</v>
      </c>
      <c r="E50" s="200">
        <f>D50/D$50</f>
        <v>1</v>
      </c>
      <c r="F50" s="190">
        <f aca="true" t="shared" si="1" ref="F50:F83">SUM(H9:I9)</f>
        <v>0</v>
      </c>
      <c r="G50" s="191">
        <f>SUM(F50:F$83)</f>
        <v>4704.6923499941795</v>
      </c>
      <c r="H50" s="200">
        <f>G50/G$50</f>
        <v>1</v>
      </c>
      <c r="I50" s="190">
        <f aca="true" t="shared" si="2" ref="I50:I83">J9</f>
        <v>0</v>
      </c>
      <c r="J50" s="191">
        <f>SUM(I50:I$83)</f>
        <v>482.7539329062204</v>
      </c>
      <c r="K50" s="200">
        <f>J50/J$50</f>
        <v>1</v>
      </c>
    </row>
    <row r="51" spans="2:11" ht="12.75">
      <c r="B51" s="188">
        <v>3000</v>
      </c>
      <c r="C51" s="192">
        <f t="shared" si="0"/>
        <v>311.7570874990423</v>
      </c>
      <c r="D51" s="193">
        <f>SUM(C51:C$83)</f>
        <v>14484.806881193745</v>
      </c>
      <c r="E51" s="196">
        <f aca="true" t="shared" si="3" ref="E51:E83">D51/D$50</f>
        <v>1</v>
      </c>
      <c r="F51" s="192">
        <f t="shared" si="1"/>
        <v>0</v>
      </c>
      <c r="G51" s="193">
        <f>SUM(F51:F$83)</f>
        <v>4704.6923499941795</v>
      </c>
      <c r="H51" s="196">
        <f aca="true" t="shared" si="4" ref="H51:H83">G51/G$50</f>
        <v>1</v>
      </c>
      <c r="I51" s="192">
        <f t="shared" si="2"/>
        <v>0</v>
      </c>
      <c r="J51" s="193">
        <f>SUM(I51:I$83)</f>
        <v>482.7539329062204</v>
      </c>
      <c r="K51" s="196">
        <f aca="true" t="shared" si="5" ref="K51:K83">J51/J$50</f>
        <v>1</v>
      </c>
    </row>
    <row r="52" spans="2:11" ht="12.75">
      <c r="B52" s="188">
        <v>4000</v>
      </c>
      <c r="C52" s="192">
        <f t="shared" si="0"/>
        <v>549.0678338334603</v>
      </c>
      <c r="D52" s="193">
        <f>SUM(C52:C$83)</f>
        <v>14173.049793694703</v>
      </c>
      <c r="E52" s="196">
        <f t="shared" si="3"/>
        <v>0.9784769593370409</v>
      </c>
      <c r="F52" s="192">
        <f t="shared" si="1"/>
        <v>0</v>
      </c>
      <c r="G52" s="193">
        <f>SUM(F52:F$83)</f>
        <v>4704.6923499941795</v>
      </c>
      <c r="H52" s="196">
        <f t="shared" si="4"/>
        <v>1</v>
      </c>
      <c r="I52" s="192">
        <f t="shared" si="2"/>
        <v>0</v>
      </c>
      <c r="J52" s="193">
        <f>SUM(I52:I$83)</f>
        <v>482.7539329062204</v>
      </c>
      <c r="K52" s="196">
        <f t="shared" si="5"/>
        <v>1</v>
      </c>
    </row>
    <row r="53" spans="2:11" ht="12.75">
      <c r="B53" s="188">
        <v>5000</v>
      </c>
      <c r="C53" s="192">
        <f t="shared" si="0"/>
        <v>3202.1908319136105</v>
      </c>
      <c r="D53" s="193">
        <f>SUM(C53:C$83)</f>
        <v>13623.981959861241</v>
      </c>
      <c r="E53" s="196">
        <f t="shared" si="3"/>
        <v>0.9405704937322878</v>
      </c>
      <c r="F53" s="192">
        <f t="shared" si="1"/>
        <v>0</v>
      </c>
      <c r="G53" s="193">
        <f>SUM(F53:F$83)</f>
        <v>4704.6923499941795</v>
      </c>
      <c r="H53" s="196">
        <f t="shared" si="4"/>
        <v>1</v>
      </c>
      <c r="I53" s="192">
        <f t="shared" si="2"/>
        <v>0</v>
      </c>
      <c r="J53" s="193">
        <f>SUM(I53:I$83)</f>
        <v>482.7539329062204</v>
      </c>
      <c r="K53" s="196">
        <f t="shared" si="5"/>
        <v>1</v>
      </c>
    </row>
    <row r="54" spans="2:11" ht="12.75">
      <c r="B54" s="188">
        <v>6000</v>
      </c>
      <c r="C54" s="192">
        <f t="shared" si="0"/>
        <v>2491.5497817069927</v>
      </c>
      <c r="D54" s="193">
        <f>SUM(C54:C$83)</f>
        <v>10421.79112794763</v>
      </c>
      <c r="E54" s="196">
        <f t="shared" si="3"/>
        <v>0.7194981067699767</v>
      </c>
      <c r="F54" s="192">
        <f t="shared" si="1"/>
        <v>107.71506466118488</v>
      </c>
      <c r="G54" s="193">
        <f>SUM(F54:F$83)</f>
        <v>4704.6923499941795</v>
      </c>
      <c r="H54" s="196">
        <f t="shared" si="4"/>
        <v>1</v>
      </c>
      <c r="I54" s="192">
        <f t="shared" si="2"/>
        <v>0</v>
      </c>
      <c r="J54" s="193">
        <f>SUM(I54:I$83)</f>
        <v>482.7539329062204</v>
      </c>
      <c r="K54" s="196">
        <f t="shared" si="5"/>
        <v>1</v>
      </c>
    </row>
    <row r="55" spans="2:11" ht="12.75">
      <c r="B55" s="188">
        <v>7000</v>
      </c>
      <c r="C55" s="192">
        <f t="shared" si="0"/>
        <v>991.959510659833</v>
      </c>
      <c r="D55" s="193">
        <f>SUM(C55:C$83)</f>
        <v>7930.241346240637</v>
      </c>
      <c r="E55" s="196">
        <f t="shared" si="3"/>
        <v>0.547486853727875</v>
      </c>
      <c r="F55" s="192">
        <f t="shared" si="1"/>
        <v>0</v>
      </c>
      <c r="G55" s="193">
        <f>SUM(F55:F$83)</f>
        <v>4596.977285332994</v>
      </c>
      <c r="H55" s="196">
        <f t="shared" si="4"/>
        <v>0.9771047591111205</v>
      </c>
      <c r="I55" s="192">
        <f t="shared" si="2"/>
        <v>21.142508010491408</v>
      </c>
      <c r="J55" s="193">
        <f>SUM(I55:I$83)</f>
        <v>482.7539329062204</v>
      </c>
      <c r="K55" s="196">
        <f t="shared" si="5"/>
        <v>1</v>
      </c>
    </row>
    <row r="56" spans="2:11" ht="12.75">
      <c r="B56" s="188">
        <v>8000</v>
      </c>
      <c r="C56" s="192">
        <f t="shared" si="0"/>
        <v>3292.1149482728115</v>
      </c>
      <c r="D56" s="193">
        <f>SUM(C56:C$83)</f>
        <v>6938.281835580805</v>
      </c>
      <c r="E56" s="196">
        <f t="shared" si="3"/>
        <v>0.47900409667104904</v>
      </c>
      <c r="F56" s="192">
        <f t="shared" si="1"/>
        <v>0</v>
      </c>
      <c r="G56" s="193">
        <f>SUM(F56:F$83)</f>
        <v>4596.977285332994</v>
      </c>
      <c r="H56" s="196">
        <f t="shared" si="4"/>
        <v>0.9771047591111205</v>
      </c>
      <c r="I56" s="192">
        <f t="shared" si="2"/>
        <v>0</v>
      </c>
      <c r="J56" s="193">
        <f>SUM(I56:I$83)</f>
        <v>461.611424895729</v>
      </c>
      <c r="K56" s="196">
        <f t="shared" si="5"/>
        <v>0.9562043795620437</v>
      </c>
    </row>
    <row r="57" spans="2:11" ht="12.75">
      <c r="B57" s="188">
        <v>9000</v>
      </c>
      <c r="C57" s="192">
        <f t="shared" si="0"/>
        <v>345.8291541111968</v>
      </c>
      <c r="D57" s="193">
        <f>SUM(C57:C$83)</f>
        <v>3646.1668873079925</v>
      </c>
      <c r="E57" s="196">
        <f t="shared" si="3"/>
        <v>0.2517235415849396</v>
      </c>
      <c r="F57" s="192">
        <f t="shared" si="1"/>
        <v>0</v>
      </c>
      <c r="G57" s="193">
        <f>SUM(F57:F$83)</f>
        <v>4596.977285332994</v>
      </c>
      <c r="H57" s="196">
        <f t="shared" si="4"/>
        <v>0.9771047591111205</v>
      </c>
      <c r="I57" s="192">
        <f t="shared" si="2"/>
        <v>0</v>
      </c>
      <c r="J57" s="193">
        <f>SUM(I57:I$83)</f>
        <v>461.611424895729</v>
      </c>
      <c r="K57" s="196">
        <f t="shared" si="5"/>
        <v>0.9562043795620437</v>
      </c>
    </row>
    <row r="58" spans="2:11" ht="12.75">
      <c r="B58" s="188">
        <v>10000</v>
      </c>
      <c r="C58" s="192">
        <f t="shared" si="0"/>
        <v>693.7727615683957</v>
      </c>
      <c r="D58" s="193">
        <f>SUM(C58:C$83)</f>
        <v>3300.337733196796</v>
      </c>
      <c r="E58" s="196">
        <f t="shared" si="3"/>
        <v>0.22784823852099595</v>
      </c>
      <c r="F58" s="192">
        <f t="shared" si="1"/>
        <v>625.2070189402808</v>
      </c>
      <c r="G58" s="193">
        <f>SUM(F58:F$83)</f>
        <v>4596.977285332994</v>
      </c>
      <c r="H58" s="196">
        <f t="shared" si="4"/>
        <v>0.9771047591111205</v>
      </c>
      <c r="I58" s="192">
        <f t="shared" si="2"/>
        <v>0</v>
      </c>
      <c r="J58" s="193">
        <f>SUM(I58:I$83)</f>
        <v>461.611424895729</v>
      </c>
      <c r="K58" s="196">
        <f t="shared" si="5"/>
        <v>0.9562043795620437</v>
      </c>
    </row>
    <row r="59" spans="2:11" ht="12.75">
      <c r="B59" s="188">
        <v>11000</v>
      </c>
      <c r="C59" s="192">
        <f t="shared" si="0"/>
        <v>1000.9381528578466</v>
      </c>
      <c r="D59" s="193">
        <f>SUM(C59:C$83)</f>
        <v>2606.5649716284006</v>
      </c>
      <c r="E59" s="196">
        <f t="shared" si="3"/>
        <v>0.1799516550691896</v>
      </c>
      <c r="F59" s="192">
        <f t="shared" si="1"/>
        <v>538.9110377941081</v>
      </c>
      <c r="G59" s="193">
        <f>SUM(F59:F$83)</f>
        <v>3971.770266392714</v>
      </c>
      <c r="H59" s="196">
        <f t="shared" si="4"/>
        <v>0.8442146629200159</v>
      </c>
      <c r="I59" s="192">
        <f t="shared" si="2"/>
        <v>0</v>
      </c>
      <c r="J59" s="193">
        <f>SUM(I59:I$83)</f>
        <v>461.611424895729</v>
      </c>
      <c r="K59" s="196">
        <f t="shared" si="5"/>
        <v>0.9562043795620437</v>
      </c>
    </row>
    <row r="60" spans="2:11" ht="12.75">
      <c r="B60" s="188">
        <v>12000</v>
      </c>
      <c r="C60" s="192">
        <f t="shared" si="0"/>
        <v>1347.8990713162777</v>
      </c>
      <c r="D60" s="193">
        <f>SUM(C60:C$83)</f>
        <v>1605.6268187705539</v>
      </c>
      <c r="E60" s="196">
        <f t="shared" si="3"/>
        <v>0.11084903181244404</v>
      </c>
      <c r="F60" s="192">
        <f t="shared" si="1"/>
        <v>0</v>
      </c>
      <c r="G60" s="193">
        <f>SUM(F60:F$83)</f>
        <v>3432.8592285986056</v>
      </c>
      <c r="H60" s="196">
        <f t="shared" si="4"/>
        <v>0.7296671011023393</v>
      </c>
      <c r="I60" s="192">
        <f t="shared" si="2"/>
        <v>0</v>
      </c>
      <c r="J60" s="193">
        <f>SUM(I60:I$83)</f>
        <v>461.611424895729</v>
      </c>
      <c r="K60" s="196">
        <f t="shared" si="5"/>
        <v>0.9562043795620437</v>
      </c>
    </row>
    <row r="61" spans="2:11" ht="12.75">
      <c r="B61" s="188">
        <v>13000</v>
      </c>
      <c r="C61" s="192">
        <f t="shared" si="0"/>
        <v>240.4571638239003</v>
      </c>
      <c r="D61" s="193">
        <f>SUM(C61:C$83)</f>
        <v>257.72774745427614</v>
      </c>
      <c r="E61" s="196">
        <f t="shared" si="3"/>
        <v>0.017792970908634985</v>
      </c>
      <c r="F61" s="192">
        <f t="shared" si="1"/>
        <v>0</v>
      </c>
      <c r="G61" s="193">
        <f>SUM(F61:F$83)</f>
        <v>3432.8592285986056</v>
      </c>
      <c r="H61" s="196">
        <f t="shared" si="4"/>
        <v>0.7296671011023393</v>
      </c>
      <c r="I61" s="192">
        <f t="shared" si="2"/>
        <v>223.00312020589743</v>
      </c>
      <c r="J61" s="193">
        <f>SUM(I61:I$83)</f>
        <v>461.611424895729</v>
      </c>
      <c r="K61" s="196">
        <f t="shared" si="5"/>
        <v>0.9562043795620437</v>
      </c>
    </row>
    <row r="62" spans="2:11" ht="12.75">
      <c r="B62" s="188">
        <v>14000</v>
      </c>
      <c r="C62" s="192">
        <f t="shared" si="0"/>
        <v>17.27058363037586</v>
      </c>
      <c r="D62" s="193">
        <f>SUM(C62:C$83)</f>
        <v>17.27058363037586</v>
      </c>
      <c r="E62" s="196">
        <f t="shared" si="3"/>
        <v>0.001192324051817288</v>
      </c>
      <c r="F62" s="192">
        <f t="shared" si="1"/>
        <v>1755.5463961255286</v>
      </c>
      <c r="G62" s="193">
        <f>SUM(F62:F$83)</f>
        <v>3432.8592285986056</v>
      </c>
      <c r="H62" s="196">
        <f t="shared" si="4"/>
        <v>0.7296671011023393</v>
      </c>
      <c r="I62" s="192">
        <f t="shared" si="2"/>
        <v>0</v>
      </c>
      <c r="J62" s="193">
        <f>SUM(I62:I$83)</f>
        <v>238.60830468983158</v>
      </c>
      <c r="K62" s="196">
        <f t="shared" si="5"/>
        <v>0.4942648592283629</v>
      </c>
    </row>
    <row r="63" spans="2:11" ht="12.75">
      <c r="B63" s="188">
        <v>15000</v>
      </c>
      <c r="C63" s="192">
        <f t="shared" si="0"/>
        <v>0</v>
      </c>
      <c r="D63" s="193">
        <f>SUM(C63:C$83)</f>
        <v>0</v>
      </c>
      <c r="E63" s="196">
        <f t="shared" si="3"/>
        <v>0</v>
      </c>
      <c r="F63" s="192">
        <f t="shared" si="1"/>
        <v>0</v>
      </c>
      <c r="G63" s="193">
        <f>SUM(F63:F$83)</f>
        <v>1677.3128324730767</v>
      </c>
      <c r="H63" s="196">
        <f t="shared" si="4"/>
        <v>0.35651913189927326</v>
      </c>
      <c r="I63" s="192">
        <f t="shared" si="2"/>
        <v>0</v>
      </c>
      <c r="J63" s="193">
        <f>SUM(I63:I$83)</f>
        <v>238.60830468983158</v>
      </c>
      <c r="K63" s="196">
        <f t="shared" si="5"/>
        <v>0.4942648592283629</v>
      </c>
    </row>
    <row r="64" spans="2:11" ht="12.75">
      <c r="B64" s="188">
        <v>16000</v>
      </c>
      <c r="C64" s="192">
        <f t="shared" si="0"/>
        <v>0</v>
      </c>
      <c r="D64" s="193">
        <f>SUM(C64:C$83)</f>
        <v>0</v>
      </c>
      <c r="E64" s="196">
        <f t="shared" si="3"/>
        <v>0</v>
      </c>
      <c r="F64" s="192">
        <f t="shared" si="1"/>
        <v>298.94621515256614</v>
      </c>
      <c r="G64" s="193">
        <f>SUM(F64:F$83)</f>
        <v>1677.3128324730767</v>
      </c>
      <c r="H64" s="196">
        <f t="shared" si="4"/>
        <v>0.35651913189927326</v>
      </c>
      <c r="I64" s="192">
        <f t="shared" si="2"/>
        <v>0</v>
      </c>
      <c r="J64" s="193">
        <f>SUM(I64:I$83)</f>
        <v>238.60830468983158</v>
      </c>
      <c r="K64" s="196">
        <f t="shared" si="5"/>
        <v>0.4942648592283629</v>
      </c>
    </row>
    <row r="65" spans="2:11" ht="12.75">
      <c r="B65" s="188">
        <v>17000</v>
      </c>
      <c r="C65" s="192">
        <f t="shared" si="0"/>
        <v>0</v>
      </c>
      <c r="D65" s="193">
        <f>SUM(C65:C$83)</f>
        <v>0</v>
      </c>
      <c r="E65" s="196">
        <f t="shared" si="3"/>
        <v>0</v>
      </c>
      <c r="F65" s="192">
        <f t="shared" si="1"/>
        <v>0</v>
      </c>
      <c r="G65" s="193">
        <f>SUM(F65:F$83)</f>
        <v>1378.3666173205104</v>
      </c>
      <c r="H65" s="196">
        <f t="shared" si="4"/>
        <v>0.2929769929211664</v>
      </c>
      <c r="I65" s="192">
        <f t="shared" si="2"/>
        <v>0</v>
      </c>
      <c r="J65" s="193">
        <f>SUM(I65:I$83)</f>
        <v>238.60830468983158</v>
      </c>
      <c r="K65" s="196">
        <f t="shared" si="5"/>
        <v>0.4942648592283629</v>
      </c>
    </row>
    <row r="66" spans="2:11" ht="12.75">
      <c r="B66" s="188">
        <v>18000</v>
      </c>
      <c r="C66" s="192">
        <f t="shared" si="0"/>
        <v>0</v>
      </c>
      <c r="D66" s="193">
        <f>SUM(C66:C$83)</f>
        <v>0</v>
      </c>
      <c r="E66" s="196">
        <f t="shared" si="3"/>
        <v>0</v>
      </c>
      <c r="F66" s="192">
        <f t="shared" si="1"/>
        <v>0</v>
      </c>
      <c r="G66" s="193">
        <f>SUM(F66:F$83)</f>
        <v>1378.3666173205104</v>
      </c>
      <c r="H66" s="196">
        <f t="shared" si="4"/>
        <v>0.2929769929211664</v>
      </c>
      <c r="I66" s="192">
        <f t="shared" si="2"/>
        <v>0</v>
      </c>
      <c r="J66" s="193">
        <f>SUM(I66:I$83)</f>
        <v>238.60830468983158</v>
      </c>
      <c r="K66" s="196">
        <f t="shared" si="5"/>
        <v>0.4942648592283629</v>
      </c>
    </row>
    <row r="67" spans="2:11" ht="12.75">
      <c r="B67" s="188">
        <v>19000</v>
      </c>
      <c r="C67" s="192">
        <f t="shared" si="0"/>
        <v>0</v>
      </c>
      <c r="D67" s="193">
        <f>SUM(C67:C$83)</f>
        <v>0</v>
      </c>
      <c r="E67" s="196">
        <f t="shared" si="3"/>
        <v>0</v>
      </c>
      <c r="F67" s="192">
        <f t="shared" si="1"/>
        <v>207.31763989837685</v>
      </c>
      <c r="G67" s="193">
        <f>SUM(F67:F$83)</f>
        <v>1378.3666173205104</v>
      </c>
      <c r="H67" s="196">
        <f t="shared" si="4"/>
        <v>0.2929769929211664</v>
      </c>
      <c r="I67" s="192">
        <f t="shared" si="2"/>
        <v>0</v>
      </c>
      <c r="J67" s="193">
        <f>SUM(I67:I$83)</f>
        <v>238.60830468983158</v>
      </c>
      <c r="K67" s="196">
        <f t="shared" si="5"/>
        <v>0.4942648592283629</v>
      </c>
    </row>
    <row r="68" spans="2:11" ht="12.75">
      <c r="B68" s="188">
        <v>20000</v>
      </c>
      <c r="C68" s="192">
        <f t="shared" si="0"/>
        <v>0</v>
      </c>
      <c r="D68" s="193">
        <f>SUM(C68:C$83)</f>
        <v>0</v>
      </c>
      <c r="E68" s="196">
        <f t="shared" si="3"/>
        <v>0</v>
      </c>
      <c r="F68" s="192">
        <f t="shared" si="1"/>
        <v>665.1138499364689</v>
      </c>
      <c r="G68" s="193">
        <f>SUM(F68:F$83)</f>
        <v>1171.0489774221337</v>
      </c>
      <c r="H68" s="196">
        <f t="shared" si="4"/>
        <v>0.24891085118957512</v>
      </c>
      <c r="I68" s="192">
        <f t="shared" si="2"/>
        <v>0</v>
      </c>
      <c r="J68" s="193">
        <f>SUM(I68:I$83)</f>
        <v>238.60830468983158</v>
      </c>
      <c r="K68" s="196">
        <f t="shared" si="5"/>
        <v>0.4942648592283629</v>
      </c>
    </row>
    <row r="69" spans="2:11" ht="12.75">
      <c r="B69" s="188">
        <v>21000</v>
      </c>
      <c r="C69" s="192">
        <f t="shared" si="0"/>
        <v>0</v>
      </c>
      <c r="D69" s="193">
        <f>SUM(C69:C$83)</f>
        <v>0</v>
      </c>
      <c r="E69" s="196">
        <f t="shared" si="3"/>
        <v>0</v>
      </c>
      <c r="F69" s="192">
        <f t="shared" si="1"/>
        <v>0</v>
      </c>
      <c r="G69" s="193">
        <f>SUM(F69:F$83)</f>
        <v>505.9351274856647</v>
      </c>
      <c r="H69" s="196">
        <f t="shared" si="4"/>
        <v>0.10753840843308078</v>
      </c>
      <c r="I69" s="192">
        <f t="shared" si="2"/>
        <v>0</v>
      </c>
      <c r="J69" s="193">
        <f>SUM(I69:I$83)</f>
        <v>238.60830468983158</v>
      </c>
      <c r="K69" s="196">
        <f t="shared" si="5"/>
        <v>0.4942648592283629</v>
      </c>
    </row>
    <row r="70" spans="2:11" ht="12.75">
      <c r="B70" s="188">
        <v>22000</v>
      </c>
      <c r="C70" s="192">
        <f t="shared" si="0"/>
        <v>0</v>
      </c>
      <c r="D70" s="193">
        <f>SUM(C70:C$83)</f>
        <v>0</v>
      </c>
      <c r="E70" s="196">
        <f t="shared" si="3"/>
        <v>0</v>
      </c>
      <c r="F70" s="192">
        <f t="shared" si="1"/>
        <v>368.32536542984354</v>
      </c>
      <c r="G70" s="193">
        <f>SUM(F70:F$83)</f>
        <v>505.9351274856647</v>
      </c>
      <c r="H70" s="196">
        <f t="shared" si="4"/>
        <v>0.10753840843308078</v>
      </c>
      <c r="I70" s="192">
        <f t="shared" si="2"/>
        <v>0</v>
      </c>
      <c r="J70" s="193">
        <f>SUM(I70:I$83)</f>
        <v>238.60830468983158</v>
      </c>
      <c r="K70" s="196">
        <f t="shared" si="5"/>
        <v>0.4942648592283629</v>
      </c>
    </row>
    <row r="71" spans="2:11" ht="12.75">
      <c r="B71" s="188">
        <v>23000</v>
      </c>
      <c r="C71" s="192">
        <f t="shared" si="0"/>
        <v>0</v>
      </c>
      <c r="D71" s="193">
        <f>SUM(C71:C$83)</f>
        <v>0</v>
      </c>
      <c r="E71" s="196">
        <f t="shared" si="3"/>
        <v>0</v>
      </c>
      <c r="F71" s="192">
        <f t="shared" si="1"/>
        <v>137.60976205582114</v>
      </c>
      <c r="G71" s="193">
        <f>SUM(F71:F$83)</f>
        <v>137.60976205582114</v>
      </c>
      <c r="H71" s="196">
        <f t="shared" si="4"/>
        <v>0.029249470915136754</v>
      </c>
      <c r="I71" s="192">
        <f t="shared" si="2"/>
        <v>0</v>
      </c>
      <c r="J71" s="193">
        <f>SUM(I71:I$83)</f>
        <v>238.60830468983158</v>
      </c>
      <c r="K71" s="196">
        <f t="shared" si="5"/>
        <v>0.4942648592283629</v>
      </c>
    </row>
    <row r="72" spans="2:11" ht="12.75">
      <c r="B72" s="188">
        <v>24000</v>
      </c>
      <c r="C72" s="192">
        <f t="shared" si="0"/>
        <v>0</v>
      </c>
      <c r="D72" s="193">
        <f>SUM(C72:C$83)</f>
        <v>0</v>
      </c>
      <c r="E72" s="196">
        <f t="shared" si="3"/>
        <v>0</v>
      </c>
      <c r="F72" s="192">
        <f t="shared" si="1"/>
        <v>0</v>
      </c>
      <c r="G72" s="193">
        <f>SUM(F72:F$83)</f>
        <v>0</v>
      </c>
      <c r="H72" s="196">
        <f t="shared" si="4"/>
        <v>0</v>
      </c>
      <c r="I72" s="192">
        <f t="shared" si="2"/>
        <v>153.03148655212829</v>
      </c>
      <c r="J72" s="193">
        <f>SUM(I72:I$83)</f>
        <v>238.60830468983158</v>
      </c>
      <c r="K72" s="196">
        <f t="shared" si="5"/>
        <v>0.4942648592283629</v>
      </c>
    </row>
    <row r="73" spans="2:11" ht="12.75">
      <c r="B73" s="188">
        <v>25000</v>
      </c>
      <c r="C73" s="192">
        <f t="shared" si="0"/>
        <v>0</v>
      </c>
      <c r="D73" s="193">
        <f>SUM(C73:C$83)</f>
        <v>0</v>
      </c>
      <c r="E73" s="196">
        <f t="shared" si="3"/>
        <v>0</v>
      </c>
      <c r="F73" s="192">
        <f t="shared" si="1"/>
        <v>0</v>
      </c>
      <c r="G73" s="193">
        <f>SUM(F73:F$83)</f>
        <v>0</v>
      </c>
      <c r="H73" s="196">
        <f t="shared" si="4"/>
        <v>0</v>
      </c>
      <c r="I73" s="192">
        <f t="shared" si="2"/>
        <v>0</v>
      </c>
      <c r="J73" s="193">
        <f>SUM(I73:I$83)</f>
        <v>85.57681813770331</v>
      </c>
      <c r="K73" s="196">
        <f t="shared" si="5"/>
        <v>0.1772679874869656</v>
      </c>
    </row>
    <row r="74" spans="2:11" ht="12.75">
      <c r="B74" s="188">
        <v>26000</v>
      </c>
      <c r="C74" s="192">
        <f t="shared" si="0"/>
        <v>0</v>
      </c>
      <c r="D74" s="193">
        <f>SUM(C74:C$83)</f>
        <v>0</v>
      </c>
      <c r="E74" s="196">
        <f t="shared" si="3"/>
        <v>0</v>
      </c>
      <c r="F74" s="192">
        <f t="shared" si="1"/>
        <v>0</v>
      </c>
      <c r="G74" s="193">
        <f>SUM(F74:F$83)</f>
        <v>0</v>
      </c>
      <c r="H74" s="196">
        <f t="shared" si="4"/>
        <v>0</v>
      </c>
      <c r="I74" s="192">
        <f t="shared" si="2"/>
        <v>0</v>
      </c>
      <c r="J74" s="193">
        <f>SUM(I74:I$83)</f>
        <v>85.57681813770331</v>
      </c>
      <c r="K74" s="196">
        <f t="shared" si="5"/>
        <v>0.1772679874869656</v>
      </c>
    </row>
    <row r="75" spans="2:11" ht="12.75">
      <c r="B75" s="188">
        <v>27000</v>
      </c>
      <c r="C75" s="192">
        <f t="shared" si="0"/>
        <v>0</v>
      </c>
      <c r="D75" s="193">
        <f>SUM(C75:C$83)</f>
        <v>0</v>
      </c>
      <c r="E75" s="196">
        <f t="shared" si="3"/>
        <v>0</v>
      </c>
      <c r="F75" s="192">
        <f t="shared" si="1"/>
        <v>0</v>
      </c>
      <c r="G75" s="193">
        <f>SUM(F75:F$83)</f>
        <v>0</v>
      </c>
      <c r="H75" s="196">
        <f t="shared" si="4"/>
        <v>0</v>
      </c>
      <c r="I75" s="192">
        <f t="shared" si="2"/>
        <v>0</v>
      </c>
      <c r="J75" s="193">
        <f>SUM(I75:I$83)</f>
        <v>85.57681813770331</v>
      </c>
      <c r="K75" s="196">
        <f t="shared" si="5"/>
        <v>0.1772679874869656</v>
      </c>
    </row>
    <row r="76" spans="2:11" ht="12.75">
      <c r="B76" s="188">
        <v>28000</v>
      </c>
      <c r="C76" s="192">
        <f t="shared" si="0"/>
        <v>0</v>
      </c>
      <c r="D76" s="193">
        <f>SUM(C76:C$83)</f>
        <v>0</v>
      </c>
      <c r="E76" s="196">
        <f t="shared" si="3"/>
        <v>0</v>
      </c>
      <c r="F76" s="192">
        <f t="shared" si="1"/>
        <v>0</v>
      </c>
      <c r="G76" s="193">
        <f>SUM(F76:F$83)</f>
        <v>0</v>
      </c>
      <c r="H76" s="196">
        <f t="shared" si="4"/>
        <v>0</v>
      </c>
      <c r="I76" s="192">
        <f t="shared" si="2"/>
        <v>0</v>
      </c>
      <c r="J76" s="193">
        <f>SUM(I76:I$83)</f>
        <v>85.57681813770331</v>
      </c>
      <c r="K76" s="196">
        <f t="shared" si="5"/>
        <v>0.1772679874869656</v>
      </c>
    </row>
    <row r="77" spans="2:11" ht="12.75">
      <c r="B77" s="188">
        <v>29000</v>
      </c>
      <c r="C77" s="192">
        <f t="shared" si="0"/>
        <v>0</v>
      </c>
      <c r="D77" s="193">
        <f>SUM(C77:C$83)</f>
        <v>0</v>
      </c>
      <c r="E77" s="196">
        <f t="shared" si="3"/>
        <v>0</v>
      </c>
      <c r="F77" s="192">
        <f t="shared" si="1"/>
        <v>0</v>
      </c>
      <c r="G77" s="193">
        <f>SUM(F77:F$83)</f>
        <v>0</v>
      </c>
      <c r="H77" s="196">
        <f t="shared" si="4"/>
        <v>0</v>
      </c>
      <c r="I77" s="192">
        <f t="shared" si="2"/>
        <v>0</v>
      </c>
      <c r="J77" s="193">
        <f>SUM(I77:I$83)</f>
        <v>85.57681813770331</v>
      </c>
      <c r="K77" s="196">
        <f t="shared" si="5"/>
        <v>0.1772679874869656</v>
      </c>
    </row>
    <row r="78" spans="2:11" ht="12.75">
      <c r="B78" s="188">
        <v>30000</v>
      </c>
      <c r="C78" s="192">
        <f t="shared" si="0"/>
        <v>0</v>
      </c>
      <c r="D78" s="193">
        <f>SUM(C78:C$83)</f>
        <v>0</v>
      </c>
      <c r="E78" s="196">
        <f t="shared" si="3"/>
        <v>0</v>
      </c>
      <c r="F78" s="192">
        <f t="shared" si="1"/>
        <v>0</v>
      </c>
      <c r="G78" s="193">
        <f>SUM(F78:F$83)</f>
        <v>0</v>
      </c>
      <c r="H78" s="196">
        <f t="shared" si="4"/>
        <v>0</v>
      </c>
      <c r="I78" s="192">
        <f t="shared" si="2"/>
        <v>0</v>
      </c>
      <c r="J78" s="193">
        <f>SUM(I78:I$83)</f>
        <v>85.57681813770331</v>
      </c>
      <c r="K78" s="196">
        <f t="shared" si="5"/>
        <v>0.1772679874869656</v>
      </c>
    </row>
    <row r="79" spans="2:11" ht="12.75">
      <c r="B79" s="188">
        <v>31000</v>
      </c>
      <c r="C79" s="192">
        <f t="shared" si="0"/>
        <v>0</v>
      </c>
      <c r="D79" s="193">
        <f>SUM(C79:C$83)</f>
        <v>0</v>
      </c>
      <c r="E79" s="196">
        <f t="shared" si="3"/>
        <v>0</v>
      </c>
      <c r="F79" s="192">
        <f t="shared" si="1"/>
        <v>0</v>
      </c>
      <c r="G79" s="193">
        <f>SUM(F79:F$83)</f>
        <v>0</v>
      </c>
      <c r="H79" s="196">
        <f t="shared" si="4"/>
        <v>0</v>
      </c>
      <c r="I79" s="192">
        <f t="shared" si="2"/>
        <v>85.57681813770331</v>
      </c>
      <c r="J79" s="193">
        <f>SUM(I79:I$83)</f>
        <v>85.57681813770331</v>
      </c>
      <c r="K79" s="196">
        <f t="shared" si="5"/>
        <v>0.1772679874869656</v>
      </c>
    </row>
    <row r="80" spans="2:11" ht="12.75">
      <c r="B80" s="188">
        <v>32000</v>
      </c>
      <c r="C80" s="192">
        <f t="shared" si="0"/>
        <v>0</v>
      </c>
      <c r="D80" s="193">
        <f>SUM(C80:C$83)</f>
        <v>0</v>
      </c>
      <c r="E80" s="196">
        <f t="shared" si="3"/>
        <v>0</v>
      </c>
      <c r="F80" s="192">
        <f t="shared" si="1"/>
        <v>0</v>
      </c>
      <c r="G80" s="193">
        <f>SUM(F80:F$83)</f>
        <v>0</v>
      </c>
      <c r="H80" s="196">
        <f t="shared" si="4"/>
        <v>0</v>
      </c>
      <c r="I80" s="192">
        <f t="shared" si="2"/>
        <v>0</v>
      </c>
      <c r="J80" s="193">
        <f>SUM(I80:I$83)</f>
        <v>0</v>
      </c>
      <c r="K80" s="196">
        <f t="shared" si="5"/>
        <v>0</v>
      </c>
    </row>
    <row r="81" spans="2:11" ht="12.75">
      <c r="B81" s="188">
        <v>33000</v>
      </c>
      <c r="C81" s="192">
        <f t="shared" si="0"/>
        <v>0</v>
      </c>
      <c r="D81" s="193">
        <f>SUM(C81:C$83)</f>
        <v>0</v>
      </c>
      <c r="E81" s="196">
        <f t="shared" si="3"/>
        <v>0</v>
      </c>
      <c r="F81" s="192">
        <f t="shared" si="1"/>
        <v>0</v>
      </c>
      <c r="G81" s="193">
        <f>SUM(F81:F$83)</f>
        <v>0</v>
      </c>
      <c r="H81" s="196">
        <f t="shared" si="4"/>
        <v>0</v>
      </c>
      <c r="I81" s="192">
        <f t="shared" si="2"/>
        <v>0</v>
      </c>
      <c r="J81" s="193">
        <f>SUM(I81:I$83)</f>
        <v>0</v>
      </c>
      <c r="K81" s="196">
        <f t="shared" si="5"/>
        <v>0</v>
      </c>
    </row>
    <row r="82" spans="2:11" ht="12.75">
      <c r="B82" s="188">
        <v>34000</v>
      </c>
      <c r="C82" s="192">
        <f t="shared" si="0"/>
        <v>0</v>
      </c>
      <c r="D82" s="193">
        <f>SUM(C82:C$83)</f>
        <v>0</v>
      </c>
      <c r="E82" s="196">
        <f t="shared" si="3"/>
        <v>0</v>
      </c>
      <c r="F82" s="192">
        <f t="shared" si="1"/>
        <v>0</v>
      </c>
      <c r="G82" s="193">
        <f>SUM(F82:F$83)</f>
        <v>0</v>
      </c>
      <c r="H82" s="196">
        <f t="shared" si="4"/>
        <v>0</v>
      </c>
      <c r="I82" s="192">
        <f t="shared" si="2"/>
        <v>0</v>
      </c>
      <c r="J82" s="193">
        <f>SUM(I82:I$83)</f>
        <v>0</v>
      </c>
      <c r="K82" s="196">
        <f t="shared" si="5"/>
        <v>0</v>
      </c>
    </row>
    <row r="83" spans="2:11" ht="12.75">
      <c r="B83" s="189">
        <v>35000</v>
      </c>
      <c r="C83" s="194">
        <f t="shared" si="0"/>
        <v>0</v>
      </c>
      <c r="D83" s="195">
        <f>SUM(C83:C$83)</f>
        <v>0</v>
      </c>
      <c r="E83" s="197">
        <f t="shared" si="3"/>
        <v>0</v>
      </c>
      <c r="F83" s="194">
        <f t="shared" si="1"/>
        <v>0</v>
      </c>
      <c r="G83" s="195">
        <f>SUM(F83:F$83)</f>
        <v>0</v>
      </c>
      <c r="H83" s="197">
        <f t="shared" si="4"/>
        <v>0</v>
      </c>
      <c r="I83" s="194">
        <f t="shared" si="2"/>
        <v>0</v>
      </c>
      <c r="J83" s="195">
        <f>SUM(I83:I$83)</f>
        <v>0</v>
      </c>
      <c r="K83" s="197">
        <f t="shared" si="5"/>
        <v>0</v>
      </c>
    </row>
    <row r="85" spans="2:43" ht="12.75">
      <c r="B85" s="151" t="s">
        <v>158</v>
      </c>
      <c r="H85" s="308" t="s">
        <v>147</v>
      </c>
      <c r="I85" s="306">
        <f>O96</f>
        <v>20</v>
      </c>
      <c r="K85" s="151" t="s">
        <v>116</v>
      </c>
      <c r="R85" s="151" t="s">
        <v>158</v>
      </c>
      <c r="X85" s="308" t="s">
        <v>147</v>
      </c>
      <c r="Y85" s="306">
        <f>AE96</f>
        <v>19</v>
      </c>
      <c r="AA85" s="151" t="s">
        <v>116</v>
      </c>
      <c r="AH85" s="151" t="s">
        <v>158</v>
      </c>
      <c r="AN85" s="308" t="s">
        <v>147</v>
      </c>
      <c r="AO85" s="306">
        <f>AU96</f>
        <v>18</v>
      </c>
      <c r="AQ85" s="151" t="s">
        <v>116</v>
      </c>
    </row>
    <row r="86" ht="6" customHeight="1"/>
    <row r="87" spans="2:48" ht="12.75">
      <c r="B87" s="225" t="s">
        <v>128</v>
      </c>
      <c r="C87" s="227" t="s">
        <v>148</v>
      </c>
      <c r="D87" s="367" t="s">
        <v>150</v>
      </c>
      <c r="E87" s="227" t="s">
        <v>151</v>
      </c>
      <c r="F87" s="367" t="s">
        <v>152</v>
      </c>
      <c r="G87" s="226" t="s">
        <v>151</v>
      </c>
      <c r="H87" s="227" t="s">
        <v>148</v>
      </c>
      <c r="I87" s="307" t="s">
        <v>157</v>
      </c>
      <c r="K87" t="s">
        <v>74</v>
      </c>
      <c r="M87" s="154" t="s">
        <v>117</v>
      </c>
      <c r="N87" s="158" t="s">
        <v>119</v>
      </c>
      <c r="O87" s="494">
        <v>2.8</v>
      </c>
      <c r="P87" s="494"/>
      <c r="R87" s="225" t="s">
        <v>128</v>
      </c>
      <c r="S87" s="227" t="s">
        <v>148</v>
      </c>
      <c r="T87" s="367" t="s">
        <v>150</v>
      </c>
      <c r="U87" s="227" t="s">
        <v>151</v>
      </c>
      <c r="V87" s="367" t="s">
        <v>152</v>
      </c>
      <c r="W87" s="226" t="s">
        <v>151</v>
      </c>
      <c r="X87" s="227" t="s">
        <v>148</v>
      </c>
      <c r="Y87" s="307" t="s">
        <v>157</v>
      </c>
      <c r="AA87" t="s">
        <v>74</v>
      </c>
      <c r="AC87" s="154" t="s">
        <v>117</v>
      </c>
      <c r="AD87" s="158" t="s">
        <v>119</v>
      </c>
      <c r="AE87" s="494">
        <v>2.8</v>
      </c>
      <c r="AF87" s="494"/>
      <c r="AH87" s="225" t="s">
        <v>128</v>
      </c>
      <c r="AI87" s="227" t="s">
        <v>148</v>
      </c>
      <c r="AJ87" s="367" t="s">
        <v>150</v>
      </c>
      <c r="AK87" s="227" t="s">
        <v>151</v>
      </c>
      <c r="AL87" s="367" t="s">
        <v>152</v>
      </c>
      <c r="AM87" s="226" t="s">
        <v>151</v>
      </c>
      <c r="AN87" s="227" t="s">
        <v>148</v>
      </c>
      <c r="AO87" s="307" t="s">
        <v>157</v>
      </c>
      <c r="AQ87" t="s">
        <v>74</v>
      </c>
      <c r="AS87" s="154" t="s">
        <v>117</v>
      </c>
      <c r="AT87" s="158" t="s">
        <v>119</v>
      </c>
      <c r="AU87" s="494">
        <v>2.8</v>
      </c>
      <c r="AV87" s="494"/>
    </row>
    <row r="88" spans="2:48" ht="12.75">
      <c r="B88" s="228" t="s">
        <v>154</v>
      </c>
      <c r="C88" s="230" t="s">
        <v>155</v>
      </c>
      <c r="D88" s="368" t="s">
        <v>129</v>
      </c>
      <c r="E88" s="376" t="s">
        <v>136</v>
      </c>
      <c r="F88" s="368" t="s">
        <v>137</v>
      </c>
      <c r="G88" s="229" t="s">
        <v>141</v>
      </c>
      <c r="H88" s="230" t="s">
        <v>155</v>
      </c>
      <c r="I88" s="362" t="s">
        <v>153</v>
      </c>
      <c r="K88" t="s">
        <v>118</v>
      </c>
      <c r="M88" s="295">
        <v>10</v>
      </c>
      <c r="N88" s="158" t="s">
        <v>119</v>
      </c>
      <c r="O88" s="495">
        <v>8.4</v>
      </c>
      <c r="P88" s="495"/>
      <c r="R88" s="228" t="s">
        <v>154</v>
      </c>
      <c r="S88" s="230" t="s">
        <v>155</v>
      </c>
      <c r="T88" s="368" t="s">
        <v>129</v>
      </c>
      <c r="U88" s="376" t="s">
        <v>136</v>
      </c>
      <c r="V88" s="368" t="s">
        <v>137</v>
      </c>
      <c r="W88" s="229" t="s">
        <v>141</v>
      </c>
      <c r="X88" s="230" t="s">
        <v>155</v>
      </c>
      <c r="Y88" s="362" t="s">
        <v>153</v>
      </c>
      <c r="AA88" t="s">
        <v>118</v>
      </c>
      <c r="AC88" s="295">
        <v>10</v>
      </c>
      <c r="AD88" s="158" t="s">
        <v>119</v>
      </c>
      <c r="AE88" s="495">
        <v>8.4</v>
      </c>
      <c r="AF88" s="495"/>
      <c r="AH88" s="228" t="s">
        <v>154</v>
      </c>
      <c r="AI88" s="230" t="s">
        <v>155</v>
      </c>
      <c r="AJ88" s="368" t="s">
        <v>129</v>
      </c>
      <c r="AK88" s="376" t="s">
        <v>136</v>
      </c>
      <c r="AL88" s="368" t="s">
        <v>137</v>
      </c>
      <c r="AM88" s="229" t="s">
        <v>141</v>
      </c>
      <c r="AN88" s="230" t="s">
        <v>155</v>
      </c>
      <c r="AO88" s="362" t="s">
        <v>153</v>
      </c>
      <c r="AQ88" t="s">
        <v>118</v>
      </c>
      <c r="AS88" s="295">
        <v>15</v>
      </c>
      <c r="AT88" s="158" t="s">
        <v>119</v>
      </c>
      <c r="AU88" s="495">
        <v>14</v>
      </c>
      <c r="AV88" s="495"/>
    </row>
    <row r="89" spans="2:48" ht="12.75">
      <c r="B89" s="222" t="s">
        <v>126</v>
      </c>
      <c r="C89" s="224"/>
      <c r="D89" s="369"/>
      <c r="E89" s="377"/>
      <c r="F89" s="369"/>
      <c r="G89" s="223"/>
      <c r="H89" s="224"/>
      <c r="I89" s="343"/>
      <c r="K89" t="s">
        <v>142</v>
      </c>
      <c r="N89" s="148" t="s">
        <v>144</v>
      </c>
      <c r="O89" s="496">
        <v>45</v>
      </c>
      <c r="P89" s="496"/>
      <c r="R89" s="222" t="s">
        <v>126</v>
      </c>
      <c r="S89" s="224"/>
      <c r="T89" s="369"/>
      <c r="U89" s="377"/>
      <c r="V89" s="369"/>
      <c r="W89" s="223"/>
      <c r="X89" s="224"/>
      <c r="Y89" s="343"/>
      <c r="AA89" t="s">
        <v>142</v>
      </c>
      <c r="AD89" s="148" t="s">
        <v>144</v>
      </c>
      <c r="AE89" s="496">
        <v>45</v>
      </c>
      <c r="AF89" s="496"/>
      <c r="AH89" s="222" t="s">
        <v>126</v>
      </c>
      <c r="AI89" s="224"/>
      <c r="AJ89" s="369"/>
      <c r="AK89" s="377"/>
      <c r="AL89" s="369"/>
      <c r="AM89" s="223"/>
      <c r="AN89" s="224"/>
      <c r="AO89" s="343"/>
      <c r="AQ89" t="s">
        <v>142</v>
      </c>
      <c r="AT89" s="148" t="s">
        <v>144</v>
      </c>
      <c r="AU89" s="496">
        <v>45</v>
      </c>
      <c r="AV89" s="496"/>
    </row>
    <row r="90" spans="2:48" ht="12.75">
      <c r="B90" s="165">
        <v>12000</v>
      </c>
      <c r="C90" s="166">
        <f>VLOOKUP(B90,$B$50:$C$83,2)</f>
        <v>1347.8990713162777</v>
      </c>
      <c r="D90" s="380">
        <f>0.08996*B90^0.55337</f>
        <v>16.268442358760137</v>
      </c>
      <c r="E90" s="115">
        <f>O$96/D90</f>
        <v>1.2293739965357233</v>
      </c>
      <c r="F90" s="370">
        <f>25.0231*E90^-1.3753</f>
        <v>18.836433424952894</v>
      </c>
      <c r="G90" s="114">
        <f>F90/O$89</f>
        <v>0.4185874094433976</v>
      </c>
      <c r="H90" s="365" t="str">
        <f>IF(G90&lt;0.5,"Infinito",ROUND(6.8539*10^11*EXP(-28.0638*G90),0)/1000)</f>
        <v>Infinito</v>
      </c>
      <c r="I90" s="363">
        <f>IF(G90&lt;0.5,0,C90/H90)</f>
        <v>0</v>
      </c>
      <c r="J90" s="213"/>
      <c r="K90" t="s">
        <v>143</v>
      </c>
      <c r="N90" s="148" t="s">
        <v>145</v>
      </c>
      <c r="O90" s="496">
        <f>O89/2</f>
        <v>22.5</v>
      </c>
      <c r="P90" s="496"/>
      <c r="R90" s="165">
        <v>12000</v>
      </c>
      <c r="S90" s="166">
        <f>VLOOKUP(R90,$B$50:$C$83,2)</f>
        <v>1347.8990713162777</v>
      </c>
      <c r="T90" s="380">
        <f>0.08996*R90^0.55337</f>
        <v>16.268442358760137</v>
      </c>
      <c r="U90" s="115">
        <f>AE$96/T90</f>
        <v>1.1679052967089372</v>
      </c>
      <c r="V90" s="370">
        <f>25.0231*U90^-1.3753</f>
        <v>20.21321524087544</v>
      </c>
      <c r="W90" s="114">
        <f>V90/AE$89</f>
        <v>0.4491825609083431</v>
      </c>
      <c r="X90" s="365" t="str">
        <f>IF(W90&lt;0.5,"Infinito",ROUND(6.8539*10^11*EXP(-28.0638*W90),0)/1000)</f>
        <v>Infinito</v>
      </c>
      <c r="Y90" s="363">
        <f>IF(W90&lt;0.5,0,S90/X90)</f>
        <v>0</v>
      </c>
      <c r="Z90" s="213"/>
      <c r="AA90" t="s">
        <v>143</v>
      </c>
      <c r="AD90" s="148" t="s">
        <v>145</v>
      </c>
      <c r="AE90" s="496">
        <f>AE89/2</f>
        <v>22.5</v>
      </c>
      <c r="AF90" s="496"/>
      <c r="AH90" s="165">
        <v>12000</v>
      </c>
      <c r="AI90" s="166">
        <f>VLOOKUP(AH90,$B$50:$C$83,2)</f>
        <v>1347.8990713162777</v>
      </c>
      <c r="AJ90" s="380">
        <f>0.08174*AH90^0.55544</f>
        <v>15.072145039097533</v>
      </c>
      <c r="AK90" s="115">
        <f>AU$96/AJ90</f>
        <v>1.1942560234994777</v>
      </c>
      <c r="AL90" s="370">
        <f>25.0231*AK90^-1.3753</f>
        <v>19.6023889263566</v>
      </c>
      <c r="AM90" s="114">
        <f>AL90/AU$89</f>
        <v>0.43560864280792444</v>
      </c>
      <c r="AN90" s="365" t="str">
        <f>IF(AM90&lt;0.5,"Infinito",ROUND(6.8539*10^11*EXP(-28.0638*AM90),0)/1000)</f>
        <v>Infinito</v>
      </c>
      <c r="AO90" s="363">
        <f>IF(AM90&lt;0.5,0,AI90/AN90)</f>
        <v>0</v>
      </c>
      <c r="AP90" s="213"/>
      <c r="AQ90" t="s">
        <v>143</v>
      </c>
      <c r="AT90" s="148" t="s">
        <v>145</v>
      </c>
      <c r="AU90" s="496">
        <f>AU89/2</f>
        <v>22.5</v>
      </c>
      <c r="AV90" s="496"/>
    </row>
    <row r="91" spans="2:48" ht="12.75">
      <c r="B91" s="165">
        <v>13000</v>
      </c>
      <c r="C91" s="166">
        <f>VLOOKUP(B91,$B$50:$C$83,2)</f>
        <v>240.4571638239003</v>
      </c>
      <c r="D91" s="380">
        <f>0.08996*B91^0.55337</f>
        <v>17.0052209698244</v>
      </c>
      <c r="E91" s="115">
        <f>O$96/D91</f>
        <v>1.1761093863755023</v>
      </c>
      <c r="F91" s="370">
        <f>25.0231*E91^-1.3753</f>
        <v>20.019552602652404</v>
      </c>
      <c r="G91" s="114">
        <f>F91/O$89</f>
        <v>0.44487894672560896</v>
      </c>
      <c r="H91" s="365" t="str">
        <f>IF(G91&lt;0.5,"Infinito",ROUND(6.8539*10^11*EXP(-28.0638*G91),0)/1000)</f>
        <v>Infinito</v>
      </c>
      <c r="I91" s="363">
        <f>IF(G91&lt;0.5,0,C91/H91)</f>
        <v>0</v>
      </c>
      <c r="J91" s="213"/>
      <c r="N91" s="148"/>
      <c r="O91" s="201"/>
      <c r="P91" s="201"/>
      <c r="R91" s="165">
        <v>13000</v>
      </c>
      <c r="S91" s="166">
        <f>VLOOKUP(R91,$B$50:$C$83,2)</f>
        <v>240.4571638239003</v>
      </c>
      <c r="T91" s="380">
        <f>0.08996*R91^0.55337</f>
        <v>17.0052209698244</v>
      </c>
      <c r="U91" s="115">
        <f>AE$96/T91</f>
        <v>1.1173039170567272</v>
      </c>
      <c r="V91" s="370">
        <f>25.0231*U91^-1.3753</f>
        <v>21.48281028867083</v>
      </c>
      <c r="W91" s="114">
        <f>V91/AE$89</f>
        <v>0.47739578419268514</v>
      </c>
      <c r="X91" s="365" t="str">
        <f>IF(W91&lt;0.5,"Infinito",ROUND(6.8539*10^11*EXP(-28.0638*W91),0)/1000)</f>
        <v>Infinito</v>
      </c>
      <c r="Y91" s="363">
        <f>IF(W91&lt;0.5,0,S91/X91)</f>
        <v>0</v>
      </c>
      <c r="Z91" s="213"/>
      <c r="AD91" s="148"/>
      <c r="AE91" s="201"/>
      <c r="AF91" s="201"/>
      <c r="AH91" s="165">
        <v>13000</v>
      </c>
      <c r="AI91" s="166">
        <f>VLOOKUP(AH91,$B$50:$C$83,2)</f>
        <v>240.4571638239003</v>
      </c>
      <c r="AJ91" s="380">
        <f>0.08174*AH91^0.55544</f>
        <v>15.757355347052524</v>
      </c>
      <c r="AK91" s="115">
        <f>AU$96/AJ91</f>
        <v>1.1423236706638702</v>
      </c>
      <c r="AL91" s="370">
        <f>25.0231*AK91^-1.3753</f>
        <v>20.83836580648631</v>
      </c>
      <c r="AM91" s="114">
        <f>AL91/AU$89</f>
        <v>0.46307479569969573</v>
      </c>
      <c r="AN91" s="365" t="str">
        <f>IF(AM91&lt;0.5,"Infinito",ROUND(6.8539*10^11*EXP(-28.0638*AM91),0)/1000)</f>
        <v>Infinito</v>
      </c>
      <c r="AO91" s="363">
        <f>IF(AM91&lt;0.5,0,AI91/AN91)</f>
        <v>0</v>
      </c>
      <c r="AP91" s="213"/>
      <c r="AT91" s="148"/>
      <c r="AU91" s="201"/>
      <c r="AV91" s="201"/>
    </row>
    <row r="92" spans="2:48" ht="12.75">
      <c r="B92" s="165">
        <v>14000</v>
      </c>
      <c r="C92" s="166">
        <f>VLOOKUP(B92,$B$50:$C$83,2)</f>
        <v>17.27058363037586</v>
      </c>
      <c r="D92" s="380">
        <f>0.08996*B92^0.55337</f>
        <v>17.717087003266567</v>
      </c>
      <c r="E92" s="115">
        <f>O$96/D92</f>
        <v>1.1288537442025612</v>
      </c>
      <c r="F92" s="370">
        <f>25.0231*E92^-1.3753</f>
        <v>21.181100127090122</v>
      </c>
      <c r="G92" s="114">
        <f>F92/O$89</f>
        <v>0.470691113935336</v>
      </c>
      <c r="H92" s="365" t="str">
        <f>IF(G92&lt;0.5,"Infinito",ROUND(6.8539*10^11*EXP(-28.0638*G92),0)/1000)</f>
        <v>Infinito</v>
      </c>
      <c r="I92" s="363">
        <f>IF(G92&lt;0.5,0,C92/H92)</f>
        <v>0</v>
      </c>
      <c r="J92" s="213"/>
      <c r="K92" t="s">
        <v>121</v>
      </c>
      <c r="N92" s="148" t="s">
        <v>120</v>
      </c>
      <c r="O92" s="497">
        <v>15000</v>
      </c>
      <c r="P92" s="497"/>
      <c r="R92" s="165">
        <v>14000</v>
      </c>
      <c r="S92" s="166">
        <f>VLOOKUP(R92,$B$50:$C$83,2)</f>
        <v>17.27058363037586</v>
      </c>
      <c r="T92" s="380">
        <f>0.08996*R92^0.55337</f>
        <v>17.717087003266567</v>
      </c>
      <c r="U92" s="115">
        <f>AE$96/T92</f>
        <v>1.0724110569924332</v>
      </c>
      <c r="V92" s="370">
        <f>25.0231*U92^-1.3753</f>
        <v>22.72925698026496</v>
      </c>
      <c r="W92" s="114">
        <f>V92/AE$89</f>
        <v>0.5050945995614435</v>
      </c>
      <c r="X92" s="365">
        <f>IF(W92&lt;0.5,"Infinito",ROUND(6.8539*10^11*EXP(-28.0638*W92),0)/1000)</f>
        <v>478.485</v>
      </c>
      <c r="Y92" s="363">
        <f>IF(W92&lt;0.5,0,S92/X92)</f>
        <v>0.036094305214115094</v>
      </c>
      <c r="Z92" s="213"/>
      <c r="AA92" t="s">
        <v>121</v>
      </c>
      <c r="AD92" s="148" t="s">
        <v>120</v>
      </c>
      <c r="AE92" s="497">
        <v>13000</v>
      </c>
      <c r="AF92" s="497"/>
      <c r="AH92" s="165">
        <v>14000</v>
      </c>
      <c r="AI92" s="166">
        <f>VLOOKUP(AH92,$B$50:$C$83,2)</f>
        <v>17.27058363037586</v>
      </c>
      <c r="AJ92" s="380">
        <f>0.08174*AH92^0.55544</f>
        <v>16.419502324715587</v>
      </c>
      <c r="AK92" s="115">
        <f>AU$96/AJ92</f>
        <v>1.0962573434948364</v>
      </c>
      <c r="AL92" s="370">
        <f>25.0231*AK92^-1.3753</f>
        <v>22.052073371980196</v>
      </c>
      <c r="AM92" s="114">
        <f>AL92/AU$89</f>
        <v>0.49004607493289326</v>
      </c>
      <c r="AN92" s="365" t="str">
        <f>IF(AM92&lt;0.5,"Infinito",ROUND(6.8539*10^11*EXP(-28.0638*AM92),0)/1000)</f>
        <v>Infinito</v>
      </c>
      <c r="AO92" s="363">
        <f>IF(AM92&lt;0.5,0,AI92/AN92)</f>
        <v>0</v>
      </c>
      <c r="AP92" s="213"/>
      <c r="AQ92" t="s">
        <v>121</v>
      </c>
      <c r="AT92" s="148" t="s">
        <v>120</v>
      </c>
      <c r="AU92" s="497">
        <v>13000</v>
      </c>
      <c r="AV92" s="497"/>
    </row>
    <row r="93" spans="2:48" ht="12.75">
      <c r="B93" s="165">
        <v>15000</v>
      </c>
      <c r="C93" s="166">
        <f>VLOOKUP(B93,$B$50:$C$83,2)</f>
        <v>0</v>
      </c>
      <c r="D93" s="380">
        <f>0.08996*B93^0.55337</f>
        <v>18.406578476660663</v>
      </c>
      <c r="E93" s="115">
        <f>O$96/D93</f>
        <v>1.0865680455148021</v>
      </c>
      <c r="F93" s="370">
        <f>25.0231*E93^-1.3753</f>
        <v>22.32297213836644</v>
      </c>
      <c r="G93" s="114">
        <f>F93/O$89</f>
        <v>0.4960660475192542</v>
      </c>
      <c r="H93" s="365" t="str">
        <f>IF(G93&lt;0.5,"Infinito",ROUND(6.8539*10^11*EXP(-28.0638*G93),0)/1000)</f>
        <v>Infinito</v>
      </c>
      <c r="I93" s="363">
        <f>IF(G93&lt;0.5,0,C93/H93)</f>
        <v>0</v>
      </c>
      <c r="J93" s="213"/>
      <c r="K93" t="s">
        <v>123</v>
      </c>
      <c r="N93" s="148" t="s">
        <v>122</v>
      </c>
      <c r="O93" s="214">
        <f>0.08996*O92^0.55337</f>
        <v>18.406578476660663</v>
      </c>
      <c r="P93" s="203"/>
      <c r="R93" s="165">
        <v>15000</v>
      </c>
      <c r="S93" s="166">
        <f>VLOOKUP(R93,$B$50:$C$83,2)</f>
        <v>0</v>
      </c>
      <c r="T93" s="380">
        <f>0.08996*R93^0.55337</f>
        <v>18.406578476660663</v>
      </c>
      <c r="U93" s="115">
        <f>AE$96/T93</f>
        <v>1.032239643239062</v>
      </c>
      <c r="V93" s="370">
        <f>25.0231*U93^-1.3753</f>
        <v>23.954590047345693</v>
      </c>
      <c r="W93" s="114">
        <f>V93/AE$89</f>
        <v>0.5323242232743487</v>
      </c>
      <c r="X93" s="365">
        <f>IF(W93&lt;0.5,"Infinito",ROUND(6.8539*10^11*EXP(-28.0638*W93),0)/1000)</f>
        <v>222.841</v>
      </c>
      <c r="Y93" s="363">
        <f>IF(W93&lt;0.5,0,S93/X93)</f>
        <v>0</v>
      </c>
      <c r="Z93" s="213"/>
      <c r="AA93" t="s">
        <v>123</v>
      </c>
      <c r="AD93" s="148" t="s">
        <v>122</v>
      </c>
      <c r="AE93" s="214">
        <f>0.08996*AE92^0.55337</f>
        <v>17.0052209698244</v>
      </c>
      <c r="AF93" s="203"/>
      <c r="AH93" s="165">
        <v>15000</v>
      </c>
      <c r="AI93" s="166">
        <f>VLOOKUP(AH93,$B$50:$C$83,2)</f>
        <v>0</v>
      </c>
      <c r="AJ93" s="380">
        <f>0.08174*AH93^0.55544</f>
        <v>17.06093240478071</v>
      </c>
      <c r="AK93" s="115">
        <f>AU$96/AJ93</f>
        <v>1.0550419855690976</v>
      </c>
      <c r="AL93" s="370">
        <f>25.0231*AK93^-1.3753</f>
        <v>23.245464787629114</v>
      </c>
      <c r="AM93" s="114">
        <f>AL93/AU$89</f>
        <v>0.5165658841695359</v>
      </c>
      <c r="AN93" s="365">
        <f>IF(AM93&lt;0.5,"Infinito",ROUND(6.8539*10^11*EXP(-28.0638*AM93),0)/1000)</f>
        <v>346.782</v>
      </c>
      <c r="AO93" s="363">
        <f>IF(AM93&lt;0.5,0,AI93/AN93)</f>
        <v>0</v>
      </c>
      <c r="AP93" s="213"/>
      <c r="AQ93" t="s">
        <v>123</v>
      </c>
      <c r="AT93" s="148" t="s">
        <v>122</v>
      </c>
      <c r="AU93" s="214">
        <f>0.08174*AU92^0.55544</f>
        <v>15.757355347052524</v>
      </c>
      <c r="AV93" s="203"/>
    </row>
    <row r="94" spans="2:47" ht="12.75">
      <c r="B94" s="168">
        <v>16000</v>
      </c>
      <c r="C94" s="169">
        <f>VLOOKUP(B94,$B$50:$C$83,2)</f>
        <v>0</v>
      </c>
      <c r="D94" s="381">
        <f>0.08996*B94^0.55337</f>
        <v>19.07582464714007</v>
      </c>
      <c r="E94" s="120">
        <f>O$96/D94</f>
        <v>1.0484474653104177</v>
      </c>
      <c r="F94" s="371">
        <f>25.0231*E94^-1.3753</f>
        <v>23.44678335347784</v>
      </c>
      <c r="G94" s="119">
        <f>F94/$O$89</f>
        <v>0.5210396300772854</v>
      </c>
      <c r="H94" s="366">
        <f aca="true" t="shared" si="6" ref="H94:H113">IF(G94&lt;0.5,"Infinito",ROUND(6.8539*10^11*EXP(-28.0638*G94),0)/1000)</f>
        <v>305.866</v>
      </c>
      <c r="I94" s="364">
        <f>IF(G94&lt;0.5,0,C94/H94)</f>
        <v>0</v>
      </c>
      <c r="J94" s="213"/>
      <c r="K94" t="s">
        <v>124</v>
      </c>
      <c r="N94" s="148" t="s">
        <v>125</v>
      </c>
      <c r="O94" s="215">
        <f>10.3933*O90^-0.7271</f>
        <v>1.0803924842333723</v>
      </c>
      <c r="R94" s="168">
        <v>16000</v>
      </c>
      <c r="S94" s="169">
        <f>VLOOKUP(R94,$B$50:$C$83,2)</f>
        <v>0</v>
      </c>
      <c r="T94" s="381">
        <f>0.08996*R94^0.55337</f>
        <v>19.07582464714007</v>
      </c>
      <c r="U94" s="120">
        <f>AE$96/T94</f>
        <v>0.9960250920448969</v>
      </c>
      <c r="V94" s="371">
        <f>25.0231*U94^-1.3753</f>
        <v>25.160542228880466</v>
      </c>
      <c r="W94" s="119">
        <f>V94/$O$89</f>
        <v>0.5591231606417881</v>
      </c>
      <c r="X94" s="366">
        <f aca="true" t="shared" si="7" ref="X94:X113">IF(W94&lt;0.5,"Infinito",ROUND(6.8539*10^11*EXP(-28.0638*W94),0)/1000)</f>
        <v>105.044</v>
      </c>
      <c r="Y94" s="364">
        <f>IF(W94&lt;0.5,0,S94/X94)</f>
        <v>0</v>
      </c>
      <c r="Z94" s="213"/>
      <c r="AA94" t="s">
        <v>124</v>
      </c>
      <c r="AD94" s="148" t="s">
        <v>125</v>
      </c>
      <c r="AE94" s="215">
        <f>10.3933*AE90^-0.7271</f>
        <v>1.0803924842333723</v>
      </c>
      <c r="AH94" s="168">
        <v>16000</v>
      </c>
      <c r="AI94" s="169">
        <f>VLOOKUP(AH94,$B$50:$C$83,2)</f>
        <v>0</v>
      </c>
      <c r="AJ94" s="386">
        <f>0.08174*AH94^0.55544</f>
        <v>17.683614408628216</v>
      </c>
      <c r="AK94" s="120">
        <f>AU$96/AJ94</f>
        <v>1.0178914549967462</v>
      </c>
      <c r="AL94" s="371">
        <f>25.0231*AK94^-1.3753</f>
        <v>24.420203672370803</v>
      </c>
      <c r="AM94" s="119">
        <f>AL94/$O$89</f>
        <v>0.5426711927193512</v>
      </c>
      <c r="AN94" s="366">
        <f aca="true" t="shared" si="8" ref="AN94:AN113">IF(AM94&lt;0.5,"Infinito",ROUND(6.8539*10^11*EXP(-28.0638*AM94),0)/1000)</f>
        <v>166.681</v>
      </c>
      <c r="AO94" s="364">
        <f>IF(AM94&lt;0.5,0,AI94/AN94)</f>
        <v>0</v>
      </c>
      <c r="AP94" s="213"/>
      <c r="AQ94" t="s">
        <v>124</v>
      </c>
      <c r="AT94" s="148" t="s">
        <v>125</v>
      </c>
      <c r="AU94" s="215">
        <f>10.3933*AU90^-0.7271</f>
        <v>1.0803924842333723</v>
      </c>
    </row>
    <row r="95" spans="2:48" ht="12.75">
      <c r="B95" s="222" t="s">
        <v>138</v>
      </c>
      <c r="C95" s="224"/>
      <c r="D95" s="369"/>
      <c r="E95" s="377"/>
      <c r="F95" s="369"/>
      <c r="G95" s="223"/>
      <c r="H95" s="347"/>
      <c r="I95" s="343"/>
      <c r="J95" s="219"/>
      <c r="K95" t="s">
        <v>146</v>
      </c>
      <c r="N95" s="148" t="s">
        <v>156</v>
      </c>
      <c r="O95" s="203">
        <f>O93*O94</f>
        <v>19.886329046635936</v>
      </c>
      <c r="P95" s="203"/>
      <c r="R95" s="222" t="s">
        <v>138</v>
      </c>
      <c r="S95" s="224"/>
      <c r="T95" s="369"/>
      <c r="U95" s="377"/>
      <c r="V95" s="369"/>
      <c r="W95" s="223"/>
      <c r="X95" s="347"/>
      <c r="Y95" s="343"/>
      <c r="Z95" s="219"/>
      <c r="AA95" t="s">
        <v>146</v>
      </c>
      <c r="AD95" s="148" t="s">
        <v>156</v>
      </c>
      <c r="AE95" s="203">
        <f>AE93*AE94</f>
        <v>18.37231292852602</v>
      </c>
      <c r="AF95" s="203"/>
      <c r="AH95" s="222" t="s">
        <v>138</v>
      </c>
      <c r="AI95" s="224"/>
      <c r="AJ95" s="369"/>
      <c r="AK95" s="377"/>
      <c r="AL95" s="369"/>
      <c r="AM95" s="223"/>
      <c r="AN95" s="347"/>
      <c r="AO95" s="343"/>
      <c r="AP95" s="219"/>
      <c r="AQ95" t="s">
        <v>146</v>
      </c>
      <c r="AT95" s="148" t="s">
        <v>156</v>
      </c>
      <c r="AU95" s="203">
        <f>AU93*AU94</f>
        <v>17.024128288350088</v>
      </c>
      <c r="AV95" s="203"/>
    </row>
    <row r="96" spans="2:48" ht="12.75">
      <c r="B96" s="165">
        <v>15000</v>
      </c>
      <c r="C96" s="166">
        <f aca="true" t="shared" si="9" ref="C96:C111">VLOOKUP(B96,$B$50:$F$83,5)</f>
        <v>0</v>
      </c>
      <c r="D96" s="382">
        <f aca="true" t="shared" si="10" ref="D96:D111">0.036819*B96^0.61316</f>
        <v>13.387025952948258</v>
      </c>
      <c r="E96" s="115">
        <f aca="true" t="shared" si="11" ref="E96:E111">O$96/D96</f>
        <v>1.493983807179768</v>
      </c>
      <c r="F96" s="372">
        <f aca="true" t="shared" si="12" ref="F96:F111">25.045*E96^-1.4132</f>
        <v>14.201539426058993</v>
      </c>
      <c r="G96" s="114">
        <f aca="true" t="shared" si="13" ref="G96:G111">F96/O$89</f>
        <v>0.3155897650235332</v>
      </c>
      <c r="H96" s="365" t="str">
        <f t="shared" si="6"/>
        <v>Infinito</v>
      </c>
      <c r="I96" s="363">
        <f aca="true" t="shared" si="14" ref="I96:I104">IF(G96&lt;0.5,0,C96/H96)</f>
        <v>0</v>
      </c>
      <c r="J96" s="213"/>
      <c r="K96" s="233" t="s">
        <v>147</v>
      </c>
      <c r="N96" s="148" t="s">
        <v>156</v>
      </c>
      <c r="O96" s="498">
        <f>INT(O95)+1</f>
        <v>20</v>
      </c>
      <c r="P96" s="498"/>
      <c r="R96" s="165">
        <v>15000</v>
      </c>
      <c r="S96" s="166">
        <f aca="true" t="shared" si="15" ref="S96:S111">VLOOKUP(R96,$B$50:$F$83,5)</f>
        <v>0</v>
      </c>
      <c r="T96" s="382">
        <f aca="true" t="shared" si="16" ref="T96:T111">0.036819*R96^0.61316</f>
        <v>13.387025952948258</v>
      </c>
      <c r="U96" s="115">
        <f aca="true" t="shared" si="17" ref="U96:U111">AE$96/T96</f>
        <v>1.4192846168207796</v>
      </c>
      <c r="V96" s="372">
        <f aca="true" t="shared" si="18" ref="V96:V111">25.045*U96^-1.4132</f>
        <v>15.269204963945164</v>
      </c>
      <c r="W96" s="114">
        <f aca="true" t="shared" si="19" ref="W96:W111">V96/AE$89</f>
        <v>0.3393156658654481</v>
      </c>
      <c r="X96" s="365" t="str">
        <f t="shared" si="7"/>
        <v>Infinito</v>
      </c>
      <c r="Y96" s="363">
        <f aca="true" t="shared" si="20" ref="Y96:Y110">IF(W96&lt;0.5,0,S96/X96)</f>
        <v>0</v>
      </c>
      <c r="Z96" s="213"/>
      <c r="AA96" s="233" t="s">
        <v>147</v>
      </c>
      <c r="AD96" s="148" t="s">
        <v>156</v>
      </c>
      <c r="AE96" s="498">
        <f>INT(AE95)+1</f>
        <v>19</v>
      </c>
      <c r="AF96" s="498"/>
      <c r="AH96" s="165">
        <v>15000</v>
      </c>
      <c r="AI96" s="166">
        <f aca="true" t="shared" si="21" ref="AI96:AI111">VLOOKUP(AH96,$B$50:$F$83,5)</f>
        <v>0</v>
      </c>
      <c r="AJ96" s="382">
        <f>0.03333*AH96^0.61276</f>
        <v>12.071937924106063</v>
      </c>
      <c r="AK96" s="115">
        <f aca="true" t="shared" si="22" ref="AK96:AK111">AU$96/AJ96</f>
        <v>1.4910613451761032</v>
      </c>
      <c r="AL96" s="372">
        <f aca="true" t="shared" si="23" ref="AL96:AL111">25.045*AK96^-1.4132</f>
        <v>14.240891549501088</v>
      </c>
      <c r="AM96" s="114">
        <f aca="true" t="shared" si="24" ref="AM96:AM111">AL96/AU$89</f>
        <v>0.3164642566555797</v>
      </c>
      <c r="AN96" s="365" t="str">
        <f t="shared" si="8"/>
        <v>Infinito</v>
      </c>
      <c r="AO96" s="363">
        <f aca="true" t="shared" si="25" ref="AO96:AO110">IF(AM96&lt;0.5,0,AI96/AN96)</f>
        <v>0</v>
      </c>
      <c r="AP96" s="213"/>
      <c r="AQ96" s="233" t="s">
        <v>147</v>
      </c>
      <c r="AT96" s="148" t="s">
        <v>156</v>
      </c>
      <c r="AU96" s="498">
        <f>INT(AU95)+1</f>
        <v>18</v>
      </c>
      <c r="AV96" s="498"/>
    </row>
    <row r="97" spans="2:43" ht="12.75">
      <c r="B97" s="165">
        <v>16000</v>
      </c>
      <c r="C97" s="166">
        <f t="shared" si="9"/>
        <v>298.94621515256614</v>
      </c>
      <c r="D97" s="382">
        <f t="shared" si="10"/>
        <v>13.927404766556105</v>
      </c>
      <c r="E97" s="115">
        <f t="shared" si="11"/>
        <v>1.4360177172437771</v>
      </c>
      <c r="F97" s="372">
        <f t="shared" si="12"/>
        <v>15.01837033359907</v>
      </c>
      <c r="G97" s="114">
        <f t="shared" si="13"/>
        <v>0.3337415629688682</v>
      </c>
      <c r="H97" s="365" t="str">
        <f t="shared" si="6"/>
        <v>Infinito</v>
      </c>
      <c r="I97" s="363">
        <f t="shared" si="14"/>
        <v>0</v>
      </c>
      <c r="J97" s="213"/>
      <c r="K97" s="152"/>
      <c r="R97" s="165">
        <v>16000</v>
      </c>
      <c r="S97" s="166">
        <f t="shared" si="15"/>
        <v>298.94621515256614</v>
      </c>
      <c r="T97" s="382">
        <f t="shared" si="16"/>
        <v>13.927404766556105</v>
      </c>
      <c r="U97" s="115">
        <f t="shared" si="17"/>
        <v>1.3642168313815883</v>
      </c>
      <c r="V97" s="372">
        <f t="shared" si="18"/>
        <v>16.147444862728864</v>
      </c>
      <c r="W97" s="114">
        <f t="shared" si="19"/>
        <v>0.3588321080606414</v>
      </c>
      <c r="X97" s="365" t="str">
        <f t="shared" si="7"/>
        <v>Infinito</v>
      </c>
      <c r="Y97" s="363">
        <f t="shared" si="20"/>
        <v>0</v>
      </c>
      <c r="Z97" s="213"/>
      <c r="AA97" s="152"/>
      <c r="AH97" s="165">
        <v>16000</v>
      </c>
      <c r="AI97" s="166">
        <f t="shared" si="21"/>
        <v>298.94621515256614</v>
      </c>
      <c r="AJ97" s="382">
        <f aca="true" t="shared" si="26" ref="AJ97:AJ111">0.03333*AH97^0.61276</f>
        <v>12.558907861112218</v>
      </c>
      <c r="AK97" s="115">
        <f t="shared" si="22"/>
        <v>1.4332456451675821</v>
      </c>
      <c r="AL97" s="372">
        <f t="shared" si="23"/>
        <v>15.059436462366172</v>
      </c>
      <c r="AM97" s="114">
        <f t="shared" si="24"/>
        <v>0.33465414360813717</v>
      </c>
      <c r="AN97" s="365" t="str">
        <f t="shared" si="8"/>
        <v>Infinito</v>
      </c>
      <c r="AO97" s="363">
        <f t="shared" si="25"/>
        <v>0</v>
      </c>
      <c r="AP97" s="213"/>
      <c r="AQ97" s="152"/>
    </row>
    <row r="98" spans="2:43" ht="12.75">
      <c r="B98" s="165">
        <v>17000</v>
      </c>
      <c r="C98" s="166">
        <f t="shared" si="9"/>
        <v>0</v>
      </c>
      <c r="D98" s="382">
        <f t="shared" si="10"/>
        <v>14.454865319565203</v>
      </c>
      <c r="E98" s="115">
        <f t="shared" si="11"/>
        <v>1.3836171806408497</v>
      </c>
      <c r="F98" s="372">
        <f t="shared" si="12"/>
        <v>15.828410358140204</v>
      </c>
      <c r="G98" s="114">
        <f t="shared" si="13"/>
        <v>0.35174245240311564</v>
      </c>
      <c r="H98" s="365" t="str">
        <f t="shared" si="6"/>
        <v>Infinito</v>
      </c>
      <c r="I98" s="363">
        <f t="shared" si="14"/>
        <v>0</v>
      </c>
      <c r="J98" s="213"/>
      <c r="K98" s="152"/>
      <c r="R98" s="165">
        <v>17000</v>
      </c>
      <c r="S98" s="166">
        <f t="shared" si="15"/>
        <v>0</v>
      </c>
      <c r="T98" s="382">
        <f t="shared" si="16"/>
        <v>14.454865319565203</v>
      </c>
      <c r="U98" s="115">
        <f t="shared" si="17"/>
        <v>1.314436321608807</v>
      </c>
      <c r="V98" s="372">
        <f t="shared" si="18"/>
        <v>17.018383342892644</v>
      </c>
      <c r="W98" s="114">
        <f t="shared" si="19"/>
        <v>0.37818629650872543</v>
      </c>
      <c r="X98" s="365" t="str">
        <f t="shared" si="7"/>
        <v>Infinito</v>
      </c>
      <c r="Y98" s="363">
        <f t="shared" si="20"/>
        <v>0</v>
      </c>
      <c r="Z98" s="213"/>
      <c r="AA98" s="152"/>
      <c r="AH98" s="165">
        <v>17000</v>
      </c>
      <c r="AI98" s="166">
        <f t="shared" si="21"/>
        <v>0</v>
      </c>
      <c r="AJ98" s="382">
        <f t="shared" si="26"/>
        <v>13.034224432818116</v>
      </c>
      <c r="AK98" s="115">
        <f t="shared" si="22"/>
        <v>1.380979750101498</v>
      </c>
      <c r="AL98" s="372">
        <f t="shared" si="23"/>
        <v>15.871147543050665</v>
      </c>
      <c r="AM98" s="114">
        <f t="shared" si="24"/>
        <v>0.3526921676233481</v>
      </c>
      <c r="AN98" s="365" t="str">
        <f t="shared" si="8"/>
        <v>Infinito</v>
      </c>
      <c r="AO98" s="363">
        <f t="shared" si="25"/>
        <v>0</v>
      </c>
      <c r="AP98" s="213"/>
      <c r="AQ98" s="152"/>
    </row>
    <row r="99" spans="2:43" ht="12.75">
      <c r="B99" s="165">
        <v>18000</v>
      </c>
      <c r="C99" s="166">
        <f t="shared" si="9"/>
        <v>0</v>
      </c>
      <c r="D99" s="382">
        <f t="shared" si="10"/>
        <v>14.970450795434868</v>
      </c>
      <c r="E99" s="115">
        <f t="shared" si="11"/>
        <v>1.3359651137625634</v>
      </c>
      <c r="F99" s="372">
        <f t="shared" si="12"/>
        <v>16.632111047290923</v>
      </c>
      <c r="G99" s="114">
        <f t="shared" si="13"/>
        <v>0.3696024677175761</v>
      </c>
      <c r="H99" s="365" t="str">
        <f t="shared" si="6"/>
        <v>Infinito</v>
      </c>
      <c r="I99" s="363">
        <f t="shared" si="14"/>
        <v>0</v>
      </c>
      <c r="J99" s="213"/>
      <c r="K99" s="152"/>
      <c r="R99" s="165">
        <v>18000</v>
      </c>
      <c r="S99" s="166">
        <f t="shared" si="15"/>
        <v>0</v>
      </c>
      <c r="T99" s="382">
        <f t="shared" si="16"/>
        <v>14.970450795434868</v>
      </c>
      <c r="U99" s="115">
        <f t="shared" si="17"/>
        <v>1.269166858074435</v>
      </c>
      <c r="V99" s="372">
        <f t="shared" si="18"/>
        <v>17.882505899197216</v>
      </c>
      <c r="W99" s="114">
        <f t="shared" si="19"/>
        <v>0.39738901998216036</v>
      </c>
      <c r="X99" s="365" t="str">
        <f t="shared" si="7"/>
        <v>Infinito</v>
      </c>
      <c r="Y99" s="363">
        <f t="shared" si="20"/>
        <v>0</v>
      </c>
      <c r="Z99" s="213"/>
      <c r="AA99" s="152"/>
      <c r="AH99" s="165">
        <v>18000</v>
      </c>
      <c r="AI99" s="166">
        <f t="shared" si="21"/>
        <v>0</v>
      </c>
      <c r="AJ99" s="382">
        <f t="shared" si="26"/>
        <v>13.49882893943902</v>
      </c>
      <c r="AK99" s="115">
        <f t="shared" si="22"/>
        <v>1.333449003669502</v>
      </c>
      <c r="AL99" s="372">
        <f t="shared" si="23"/>
        <v>16.6764794140499</v>
      </c>
      <c r="AM99" s="114">
        <f t="shared" si="24"/>
        <v>0.37058843142333114</v>
      </c>
      <c r="AN99" s="365" t="str">
        <f t="shared" si="8"/>
        <v>Infinito</v>
      </c>
      <c r="AO99" s="363">
        <f t="shared" si="25"/>
        <v>0</v>
      </c>
      <c r="AP99" s="213"/>
      <c r="AQ99" s="152"/>
    </row>
    <row r="100" spans="2:43" ht="12.75">
      <c r="B100" s="165">
        <v>19000</v>
      </c>
      <c r="C100" s="166">
        <f t="shared" si="9"/>
        <v>207.31763989837685</v>
      </c>
      <c r="D100" s="382">
        <f t="shared" si="10"/>
        <v>15.475067317279505</v>
      </c>
      <c r="E100" s="115">
        <f t="shared" si="11"/>
        <v>1.2924014862066509</v>
      </c>
      <c r="F100" s="372">
        <f t="shared" si="12"/>
        <v>17.42987054082647</v>
      </c>
      <c r="G100" s="114">
        <f t="shared" si="13"/>
        <v>0.38733045646281045</v>
      </c>
      <c r="H100" s="365" t="str">
        <f t="shared" si="6"/>
        <v>Infinito</v>
      </c>
      <c r="I100" s="363">
        <f t="shared" si="14"/>
        <v>0</v>
      </c>
      <c r="J100" s="213"/>
      <c r="K100" s="152"/>
      <c r="R100" s="165">
        <v>19000</v>
      </c>
      <c r="S100" s="166">
        <f t="shared" si="15"/>
        <v>207.31763989837685</v>
      </c>
      <c r="T100" s="382">
        <f t="shared" si="16"/>
        <v>15.475067317279505</v>
      </c>
      <c r="U100" s="115">
        <f t="shared" si="17"/>
        <v>1.2277814118963182</v>
      </c>
      <c r="V100" s="372">
        <f t="shared" si="18"/>
        <v>18.74024060339243</v>
      </c>
      <c r="W100" s="114">
        <f t="shared" si="19"/>
        <v>0.41644979118649844</v>
      </c>
      <c r="X100" s="365" t="str">
        <f t="shared" si="7"/>
        <v>Infinito</v>
      </c>
      <c r="Y100" s="363">
        <f t="shared" si="20"/>
        <v>0</v>
      </c>
      <c r="Z100" s="213"/>
      <c r="AA100" s="152"/>
      <c r="AH100" s="165">
        <v>19000</v>
      </c>
      <c r="AI100" s="166">
        <f t="shared" si="21"/>
        <v>207.31763989837685</v>
      </c>
      <c r="AJ100" s="382">
        <f t="shared" si="26"/>
        <v>13.953538987599469</v>
      </c>
      <c r="AK100" s="115">
        <f t="shared" si="22"/>
        <v>1.2899953206134034</v>
      </c>
      <c r="AL100" s="372">
        <f t="shared" si="23"/>
        <v>17.475832912942725</v>
      </c>
      <c r="AM100" s="114">
        <f t="shared" si="24"/>
        <v>0.38835184250983834</v>
      </c>
      <c r="AN100" s="365" t="str">
        <f t="shared" si="8"/>
        <v>Infinito</v>
      </c>
      <c r="AO100" s="363">
        <f t="shared" si="25"/>
        <v>0</v>
      </c>
      <c r="AP100" s="213"/>
      <c r="AQ100" s="152"/>
    </row>
    <row r="101" spans="2:43" ht="12.75">
      <c r="B101" s="165">
        <v>20000</v>
      </c>
      <c r="C101" s="166">
        <f t="shared" si="9"/>
        <v>665.1138499364689</v>
      </c>
      <c r="D101" s="382">
        <f t="shared" si="10"/>
        <v>15.969508176089414</v>
      </c>
      <c r="E101" s="115">
        <f t="shared" si="11"/>
        <v>1.252386722212604</v>
      </c>
      <c r="F101" s="372">
        <f t="shared" si="12"/>
        <v>18.22204236491929</v>
      </c>
      <c r="G101" s="114">
        <f t="shared" si="13"/>
        <v>0.4049342747759842</v>
      </c>
      <c r="H101" s="365" t="str">
        <f t="shared" si="6"/>
        <v>Infinito</v>
      </c>
      <c r="I101" s="363">
        <f t="shared" si="14"/>
        <v>0</v>
      </c>
      <c r="J101" s="213"/>
      <c r="K101" s="152"/>
      <c r="R101" s="165">
        <v>20000</v>
      </c>
      <c r="S101" s="166">
        <f t="shared" si="15"/>
        <v>665.1138499364689</v>
      </c>
      <c r="T101" s="382">
        <f t="shared" si="16"/>
        <v>15.969508176089414</v>
      </c>
      <c r="U101" s="115">
        <f t="shared" si="17"/>
        <v>1.1897673861019737</v>
      </c>
      <c r="V101" s="372">
        <f t="shared" si="18"/>
        <v>19.59196755959412</v>
      </c>
      <c r="W101" s="114">
        <f t="shared" si="19"/>
        <v>0.43537705687986933</v>
      </c>
      <c r="X101" s="365" t="str">
        <f t="shared" si="7"/>
        <v>Infinito</v>
      </c>
      <c r="Y101" s="363">
        <f t="shared" si="20"/>
        <v>0</v>
      </c>
      <c r="Z101" s="213"/>
      <c r="AA101" s="152"/>
      <c r="AH101" s="165">
        <v>20000</v>
      </c>
      <c r="AI101" s="166">
        <f t="shared" si="21"/>
        <v>665.1138499364689</v>
      </c>
      <c r="AJ101" s="382">
        <f t="shared" si="26"/>
        <v>14.399070358054761</v>
      </c>
      <c r="AK101" s="115">
        <f t="shared" si="22"/>
        <v>1.2500807032956054</v>
      </c>
      <c r="AL101" s="372">
        <f t="shared" si="23"/>
        <v>18.269563950176433</v>
      </c>
      <c r="AM101" s="114">
        <f t="shared" si="24"/>
        <v>0.4059903100039207</v>
      </c>
      <c r="AN101" s="365" t="str">
        <f t="shared" si="8"/>
        <v>Infinito</v>
      </c>
      <c r="AO101" s="363">
        <f t="shared" si="25"/>
        <v>0</v>
      </c>
      <c r="AP101" s="213"/>
      <c r="AQ101" s="152"/>
    </row>
    <row r="102" spans="2:43" ht="12.75">
      <c r="B102" s="165">
        <v>21000</v>
      </c>
      <c r="C102" s="166">
        <f t="shared" si="9"/>
        <v>0</v>
      </c>
      <c r="D102" s="382">
        <f t="shared" si="10"/>
        <v>16.454472785000622</v>
      </c>
      <c r="E102" s="115">
        <f t="shared" si="11"/>
        <v>1.2154749812604977</v>
      </c>
      <c r="F102" s="372">
        <f t="shared" si="12"/>
        <v>19.008942410831605</v>
      </c>
      <c r="G102" s="114">
        <f t="shared" si="13"/>
        <v>0.42242094246292455</v>
      </c>
      <c r="H102" s="365" t="str">
        <f t="shared" si="6"/>
        <v>Infinito</v>
      </c>
      <c r="I102" s="363">
        <f t="shared" si="14"/>
        <v>0</v>
      </c>
      <c r="J102" s="213"/>
      <c r="K102" s="152"/>
      <c r="R102" s="165">
        <v>21000</v>
      </c>
      <c r="S102" s="166">
        <f t="shared" si="15"/>
        <v>0</v>
      </c>
      <c r="T102" s="382">
        <f t="shared" si="16"/>
        <v>16.454472785000622</v>
      </c>
      <c r="U102" s="115">
        <f t="shared" si="17"/>
        <v>1.1547012321974728</v>
      </c>
      <c r="V102" s="372">
        <f t="shared" si="18"/>
        <v>20.43802640763179</v>
      </c>
      <c r="W102" s="114">
        <f t="shared" si="19"/>
        <v>0.45417836461403976</v>
      </c>
      <c r="X102" s="365" t="str">
        <f t="shared" si="7"/>
        <v>Infinito</v>
      </c>
      <c r="Y102" s="363">
        <f t="shared" si="20"/>
        <v>0</v>
      </c>
      <c r="Z102" s="213"/>
      <c r="AA102" s="152"/>
      <c r="AH102" s="165">
        <v>21000</v>
      </c>
      <c r="AI102" s="166">
        <f t="shared" si="21"/>
        <v>0</v>
      </c>
      <c r="AJ102" s="382">
        <f t="shared" si="26"/>
        <v>14.836054112905288</v>
      </c>
      <c r="AK102" s="115">
        <f t="shared" si="22"/>
        <v>1.2132606057524773</v>
      </c>
      <c r="AL102" s="372">
        <f t="shared" si="23"/>
        <v>19.05799053796989</v>
      </c>
      <c r="AM102" s="114">
        <f t="shared" si="24"/>
        <v>0.4235109008437753</v>
      </c>
      <c r="AN102" s="365" t="str">
        <f t="shared" si="8"/>
        <v>Infinito</v>
      </c>
      <c r="AO102" s="363">
        <f t="shared" si="25"/>
        <v>0</v>
      </c>
      <c r="AP102" s="213"/>
      <c r="AQ102" s="152"/>
    </row>
    <row r="103" spans="2:43" ht="12.75">
      <c r="B103" s="165">
        <v>22000</v>
      </c>
      <c r="C103" s="166">
        <f t="shared" si="9"/>
        <v>368.32536542984354</v>
      </c>
      <c r="D103" s="382">
        <f t="shared" si="10"/>
        <v>16.930581703091896</v>
      </c>
      <c r="E103" s="115">
        <f t="shared" si="11"/>
        <v>1.1812943199906452</v>
      </c>
      <c r="F103" s="372">
        <f t="shared" si="12"/>
        <v>19.790854541571626</v>
      </c>
      <c r="G103" s="114">
        <f t="shared" si="13"/>
        <v>0.4397967675904806</v>
      </c>
      <c r="H103" s="365" t="str">
        <f t="shared" si="6"/>
        <v>Infinito</v>
      </c>
      <c r="I103" s="363">
        <f t="shared" si="14"/>
        <v>0</v>
      </c>
      <c r="J103" s="213"/>
      <c r="K103" s="152"/>
      <c r="R103" s="165">
        <v>22000</v>
      </c>
      <c r="S103" s="166">
        <f t="shared" si="15"/>
        <v>368.32536542984354</v>
      </c>
      <c r="T103" s="382">
        <f t="shared" si="16"/>
        <v>16.930581703091896</v>
      </c>
      <c r="U103" s="115">
        <f t="shared" si="17"/>
        <v>1.1222296039911128</v>
      </c>
      <c r="V103" s="372">
        <f t="shared" si="18"/>
        <v>21.27872235121075</v>
      </c>
      <c r="W103" s="114">
        <f t="shared" si="19"/>
        <v>0.4728604966935722</v>
      </c>
      <c r="X103" s="365" t="str">
        <f t="shared" si="7"/>
        <v>Infinito</v>
      </c>
      <c r="Y103" s="363">
        <f t="shared" si="20"/>
        <v>0</v>
      </c>
      <c r="Z103" s="213"/>
      <c r="AA103" s="152"/>
      <c r="AH103" s="165">
        <v>22000</v>
      </c>
      <c r="AI103" s="166">
        <f t="shared" si="21"/>
        <v>368.32536542984354</v>
      </c>
      <c r="AJ103" s="382">
        <f t="shared" si="26"/>
        <v>15.265050155065682</v>
      </c>
      <c r="AK103" s="115">
        <f t="shared" si="22"/>
        <v>1.1791641571532425</v>
      </c>
      <c r="AL103" s="372">
        <f t="shared" si="23"/>
        <v>19.8413984371385</v>
      </c>
      <c r="AM103" s="114">
        <f t="shared" si="24"/>
        <v>0.4409199652697445</v>
      </c>
      <c r="AN103" s="365" t="str">
        <f t="shared" si="8"/>
        <v>Infinito</v>
      </c>
      <c r="AO103" s="363">
        <f t="shared" si="25"/>
        <v>0</v>
      </c>
      <c r="AP103" s="213"/>
      <c r="AQ103" s="152"/>
    </row>
    <row r="104" spans="2:43" ht="12.75">
      <c r="B104" s="165">
        <v>23000</v>
      </c>
      <c r="C104" s="166">
        <f t="shared" si="9"/>
        <v>137.60976205582114</v>
      </c>
      <c r="D104" s="382">
        <f t="shared" si="10"/>
        <v>17.39838868463557</v>
      </c>
      <c r="E104" s="115">
        <f t="shared" si="11"/>
        <v>1.1495317389743052</v>
      </c>
      <c r="F104" s="372">
        <f t="shared" si="12"/>
        <v>20.568035146411123</v>
      </c>
      <c r="G104" s="114">
        <f t="shared" si="13"/>
        <v>0.457067447698025</v>
      </c>
      <c r="H104" s="365" t="str">
        <f t="shared" si="6"/>
        <v>Infinito</v>
      </c>
      <c r="I104" s="363">
        <f t="shared" si="14"/>
        <v>0</v>
      </c>
      <c r="J104" s="213"/>
      <c r="K104" s="152"/>
      <c r="R104" s="165">
        <v>23000</v>
      </c>
      <c r="S104" s="166">
        <f t="shared" si="15"/>
        <v>137.60976205582114</v>
      </c>
      <c r="T104" s="382">
        <f t="shared" si="16"/>
        <v>17.39838868463557</v>
      </c>
      <c r="U104" s="115">
        <f t="shared" si="17"/>
        <v>1.09205515202559</v>
      </c>
      <c r="V104" s="372">
        <f t="shared" si="18"/>
        <v>22.114331054836356</v>
      </c>
      <c r="W104" s="114">
        <f t="shared" si="19"/>
        <v>0.49142957899636347</v>
      </c>
      <c r="X104" s="365" t="str">
        <f t="shared" si="7"/>
        <v>Infinito</v>
      </c>
      <c r="Y104" s="363">
        <f t="shared" si="20"/>
        <v>0</v>
      </c>
      <c r="Z104" s="213"/>
      <c r="AA104" s="152"/>
      <c r="AH104" s="165">
        <v>23000</v>
      </c>
      <c r="AI104" s="166">
        <f t="shared" si="21"/>
        <v>137.60976205582114</v>
      </c>
      <c r="AJ104" s="382">
        <f t="shared" si="26"/>
        <v>15.686558102888995</v>
      </c>
      <c r="AK104" s="115">
        <f t="shared" si="22"/>
        <v>1.1474792546546548</v>
      </c>
      <c r="AL104" s="372">
        <f t="shared" si="23"/>
        <v>20.620045744111916</v>
      </c>
      <c r="AM104" s="114">
        <f t="shared" si="24"/>
        <v>0.4582232387580426</v>
      </c>
      <c r="AN104" s="365" t="str">
        <f t="shared" si="8"/>
        <v>Infinito</v>
      </c>
      <c r="AO104" s="363">
        <f t="shared" si="25"/>
        <v>0</v>
      </c>
      <c r="AP104" s="213"/>
      <c r="AQ104" s="152"/>
    </row>
    <row r="105" spans="2:43" ht="12.75">
      <c r="B105" s="165">
        <v>24000</v>
      </c>
      <c r="C105" s="166">
        <f aca="true" t="shared" si="27" ref="C105:C110">VLOOKUP(B105,$B$50:$F$83,5)</f>
        <v>0</v>
      </c>
      <c r="D105" s="382">
        <f aca="true" t="shared" si="28" ref="D105:D110">0.036819*B105^0.61316</f>
        <v>17.858390445922026</v>
      </c>
      <c r="E105" s="115">
        <f t="shared" si="11"/>
        <v>1.1199217566982365</v>
      </c>
      <c r="F105" s="372">
        <f t="shared" si="12"/>
        <v>21.34071687789422</v>
      </c>
      <c r="G105" s="114">
        <f t="shared" si="13"/>
        <v>0.47423815284209375</v>
      </c>
      <c r="H105" s="365" t="str">
        <f t="shared" si="6"/>
        <v>Infinito</v>
      </c>
      <c r="I105" s="363">
        <f aca="true" t="shared" si="29" ref="I105:I110">IF(G105&lt;0.5,0,C105/H105)</f>
        <v>0</v>
      </c>
      <c r="J105" s="213"/>
      <c r="K105" s="152"/>
      <c r="R105" s="165">
        <v>24000</v>
      </c>
      <c r="S105" s="166">
        <f t="shared" si="15"/>
        <v>0</v>
      </c>
      <c r="T105" s="382">
        <f t="shared" si="16"/>
        <v>17.858390445922026</v>
      </c>
      <c r="U105" s="115">
        <f t="shared" si="17"/>
        <v>1.0639256688633247</v>
      </c>
      <c r="V105" s="372">
        <f t="shared" si="18"/>
        <v>22.945102661769507</v>
      </c>
      <c r="W105" s="114">
        <f t="shared" si="19"/>
        <v>0.5098911702615446</v>
      </c>
      <c r="X105" s="365">
        <f t="shared" si="7"/>
        <v>418.223</v>
      </c>
      <c r="Y105" s="363">
        <f t="shared" si="20"/>
        <v>0</v>
      </c>
      <c r="Z105" s="213"/>
      <c r="AA105" s="152"/>
      <c r="AH105" s="165">
        <v>24000</v>
      </c>
      <c r="AI105" s="166">
        <f t="shared" si="21"/>
        <v>0</v>
      </c>
      <c r="AJ105" s="382">
        <f t="shared" si="26"/>
        <v>16.10102610469822</v>
      </c>
      <c r="AK105" s="115">
        <f t="shared" si="22"/>
        <v>1.1179411723795458</v>
      </c>
      <c r="AL105" s="372">
        <f t="shared" si="23"/>
        <v>21.3941666545069</v>
      </c>
      <c r="AM105" s="114">
        <f t="shared" si="24"/>
        <v>0.4754259256557089</v>
      </c>
      <c r="AN105" s="365" t="str">
        <f t="shared" si="8"/>
        <v>Infinito</v>
      </c>
      <c r="AO105" s="363">
        <f t="shared" si="25"/>
        <v>0</v>
      </c>
      <c r="AP105" s="213"/>
      <c r="AQ105" s="152"/>
    </row>
    <row r="106" spans="2:43" ht="12.75">
      <c r="B106" s="165">
        <v>25000</v>
      </c>
      <c r="C106" s="166">
        <f t="shared" si="27"/>
        <v>0</v>
      </c>
      <c r="D106" s="382">
        <f t="shared" si="28"/>
        <v>18.31103465870249</v>
      </c>
      <c r="E106" s="115">
        <f t="shared" si="11"/>
        <v>1.092237570010541</v>
      </c>
      <c r="F106" s="372">
        <f t="shared" si="12"/>
        <v>22.109111746037364</v>
      </c>
      <c r="G106" s="114">
        <f t="shared" si="13"/>
        <v>0.4913135943563859</v>
      </c>
      <c r="H106" s="365" t="str">
        <f t="shared" si="6"/>
        <v>Infinito</v>
      </c>
      <c r="I106" s="363">
        <f t="shared" si="29"/>
        <v>0</v>
      </c>
      <c r="J106" s="213"/>
      <c r="K106" s="152"/>
      <c r="R106" s="165">
        <v>25000</v>
      </c>
      <c r="S106" s="166">
        <f t="shared" si="15"/>
        <v>0</v>
      </c>
      <c r="T106" s="382">
        <f t="shared" si="16"/>
        <v>18.31103465870249</v>
      </c>
      <c r="U106" s="115">
        <f t="shared" si="17"/>
        <v>1.0376256915100137</v>
      </c>
      <c r="V106" s="372">
        <f t="shared" si="18"/>
        <v>23.771265120847172</v>
      </c>
      <c r="W106" s="114">
        <f t="shared" si="19"/>
        <v>0.5282503360188261</v>
      </c>
      <c r="X106" s="365">
        <f t="shared" si="7"/>
        <v>249.832</v>
      </c>
      <c r="Y106" s="363">
        <f t="shared" si="20"/>
        <v>0</v>
      </c>
      <c r="Z106" s="213"/>
      <c r="AA106" s="152"/>
      <c r="AH106" s="165">
        <v>25000</v>
      </c>
      <c r="AI106" s="166">
        <f t="shared" si="21"/>
        <v>0</v>
      </c>
      <c r="AJ106" s="382">
        <f t="shared" si="26"/>
        <v>16.508858052713684</v>
      </c>
      <c r="AK106" s="115">
        <f t="shared" si="22"/>
        <v>1.0903237487732353</v>
      </c>
      <c r="AL106" s="372">
        <f t="shared" si="23"/>
        <v>22.163974579241557</v>
      </c>
      <c r="AM106" s="114">
        <f t="shared" si="24"/>
        <v>0.49253276842759014</v>
      </c>
      <c r="AN106" s="365" t="str">
        <f t="shared" si="8"/>
        <v>Infinito</v>
      </c>
      <c r="AO106" s="363">
        <f t="shared" si="25"/>
        <v>0</v>
      </c>
      <c r="AP106" s="213"/>
      <c r="AQ106" s="152"/>
    </row>
    <row r="107" spans="2:43" ht="12.75">
      <c r="B107" s="165">
        <v>26000</v>
      </c>
      <c r="C107" s="166">
        <f t="shared" si="27"/>
        <v>0</v>
      </c>
      <c r="D107" s="382">
        <f t="shared" si="28"/>
        <v>18.756726550012857</v>
      </c>
      <c r="E107" s="115">
        <f t="shared" si="11"/>
        <v>1.0662841379423047</v>
      </c>
      <c r="F107" s="372">
        <f t="shared" si="12"/>
        <v>22.873413701588248</v>
      </c>
      <c r="G107" s="114">
        <f t="shared" si="13"/>
        <v>0.5082980822575166</v>
      </c>
      <c r="H107" s="365">
        <f t="shared" si="6"/>
        <v>437.345</v>
      </c>
      <c r="I107" s="363">
        <f t="shared" si="29"/>
        <v>0</v>
      </c>
      <c r="J107" s="213"/>
      <c r="K107" s="152"/>
      <c r="R107" s="165">
        <v>26000</v>
      </c>
      <c r="S107" s="166">
        <f t="shared" si="15"/>
        <v>0</v>
      </c>
      <c r="T107" s="382">
        <f t="shared" si="16"/>
        <v>18.756726550012857</v>
      </c>
      <c r="U107" s="115">
        <f t="shared" si="17"/>
        <v>1.0129699310451896</v>
      </c>
      <c r="V107" s="372">
        <f t="shared" si="18"/>
        <v>24.59302696394963</v>
      </c>
      <c r="W107" s="114">
        <f t="shared" si="19"/>
        <v>0.5465117103099918</v>
      </c>
      <c r="X107" s="365">
        <f t="shared" si="7"/>
        <v>149.651</v>
      </c>
      <c r="Y107" s="363">
        <f t="shared" si="20"/>
        <v>0</v>
      </c>
      <c r="Z107" s="213"/>
      <c r="AA107" s="152"/>
      <c r="AH107" s="165">
        <v>26000</v>
      </c>
      <c r="AI107" s="166">
        <f t="shared" si="21"/>
        <v>0</v>
      </c>
      <c r="AJ107" s="382">
        <f t="shared" si="26"/>
        <v>16.91041953916175</v>
      </c>
      <c r="AK107" s="115">
        <f t="shared" si="22"/>
        <v>1.0644324913592451</v>
      </c>
      <c r="AL107" s="372">
        <f t="shared" si="23"/>
        <v>22.92966474602511</v>
      </c>
      <c r="AM107" s="114">
        <f t="shared" si="24"/>
        <v>0.5095481054672247</v>
      </c>
      <c r="AN107" s="365">
        <f t="shared" si="8"/>
        <v>422.269</v>
      </c>
      <c r="AO107" s="363">
        <f t="shared" si="25"/>
        <v>0</v>
      </c>
      <c r="AP107" s="213"/>
      <c r="AQ107" s="152"/>
    </row>
    <row r="108" spans="2:43" ht="12.75">
      <c r="B108" s="165">
        <v>27000</v>
      </c>
      <c r="C108" s="166">
        <f t="shared" si="27"/>
        <v>0</v>
      </c>
      <c r="D108" s="382">
        <f t="shared" si="28"/>
        <v>19.19583439538738</v>
      </c>
      <c r="E108" s="115">
        <f t="shared" si="11"/>
        <v>1.0418927142237617</v>
      </c>
      <c r="F108" s="372">
        <f t="shared" si="12"/>
        <v>23.633800809123652</v>
      </c>
      <c r="G108" s="114">
        <f t="shared" si="13"/>
        <v>0.5251955735360812</v>
      </c>
      <c r="H108" s="365">
        <f t="shared" si="6"/>
        <v>272.194</v>
      </c>
      <c r="I108" s="363">
        <f t="shared" si="29"/>
        <v>0</v>
      </c>
      <c r="J108" s="213"/>
      <c r="K108" s="152"/>
      <c r="R108" s="165">
        <v>27000</v>
      </c>
      <c r="S108" s="166">
        <f t="shared" si="15"/>
        <v>0</v>
      </c>
      <c r="T108" s="382">
        <f t="shared" si="16"/>
        <v>19.19583439538738</v>
      </c>
      <c r="U108" s="115">
        <f t="shared" si="17"/>
        <v>0.9897980785125737</v>
      </c>
      <c r="V108" s="372">
        <f t="shared" si="18"/>
        <v>25.41057964247087</v>
      </c>
      <c r="W108" s="114">
        <f t="shared" si="19"/>
        <v>0.5646795476104638</v>
      </c>
      <c r="X108" s="365">
        <f t="shared" si="7"/>
        <v>89.877</v>
      </c>
      <c r="Y108" s="363">
        <f t="shared" si="20"/>
        <v>0</v>
      </c>
      <c r="Z108" s="213"/>
      <c r="AA108" s="152"/>
      <c r="AH108" s="165">
        <v>27000</v>
      </c>
      <c r="AI108" s="166">
        <f t="shared" si="21"/>
        <v>0</v>
      </c>
      <c r="AJ108" s="382">
        <f t="shared" si="26"/>
        <v>17.306042813623712</v>
      </c>
      <c r="AK108" s="115">
        <f t="shared" si="22"/>
        <v>1.0400991257128978</v>
      </c>
      <c r="AL108" s="372">
        <f t="shared" si="23"/>
        <v>23.691416387740393</v>
      </c>
      <c r="AM108" s="114">
        <f t="shared" si="24"/>
        <v>0.5264759197275642</v>
      </c>
      <c r="AN108" s="365">
        <f t="shared" si="8"/>
        <v>262.587</v>
      </c>
      <c r="AO108" s="363">
        <f t="shared" si="25"/>
        <v>0</v>
      </c>
      <c r="AP108" s="213"/>
      <c r="AQ108" s="152"/>
    </row>
    <row r="109" spans="2:43" ht="12.75">
      <c r="B109" s="165">
        <v>28000</v>
      </c>
      <c r="C109" s="166">
        <f t="shared" si="27"/>
        <v>0</v>
      </c>
      <c r="D109" s="382">
        <f t="shared" si="28"/>
        <v>19.628694124958944</v>
      </c>
      <c r="E109" s="115">
        <f t="shared" si="11"/>
        <v>1.0189164838311338</v>
      </c>
      <c r="F109" s="372">
        <f t="shared" si="12"/>
        <v>24.390437087890252</v>
      </c>
      <c r="G109" s="114">
        <f t="shared" si="13"/>
        <v>0.5420097130642278</v>
      </c>
      <c r="H109" s="365">
        <f t="shared" si="6"/>
        <v>169.804</v>
      </c>
      <c r="I109" s="363">
        <f t="shared" si="29"/>
        <v>0</v>
      </c>
      <c r="J109" s="213"/>
      <c r="K109" s="152"/>
      <c r="R109" s="165">
        <v>28000</v>
      </c>
      <c r="S109" s="166">
        <f t="shared" si="15"/>
        <v>0</v>
      </c>
      <c r="T109" s="382">
        <f t="shared" si="16"/>
        <v>19.628694124958944</v>
      </c>
      <c r="U109" s="115">
        <f t="shared" si="17"/>
        <v>0.9679706596395771</v>
      </c>
      <c r="V109" s="372">
        <f t="shared" si="18"/>
        <v>26.22409950655296</v>
      </c>
      <c r="W109" s="114">
        <f t="shared" si="19"/>
        <v>0.582757766812288</v>
      </c>
      <c r="X109" s="365">
        <f t="shared" si="7"/>
        <v>54.114</v>
      </c>
      <c r="Y109" s="363">
        <f t="shared" si="20"/>
        <v>0</v>
      </c>
      <c r="Z109" s="213"/>
      <c r="AA109" s="152"/>
      <c r="AH109" s="165">
        <v>28000</v>
      </c>
      <c r="AI109" s="166">
        <f t="shared" si="21"/>
        <v>0</v>
      </c>
      <c r="AJ109" s="382">
        <f t="shared" si="26"/>
        <v>17.69603093974245</v>
      </c>
      <c r="AK109" s="115">
        <f t="shared" si="22"/>
        <v>1.0171772450722203</v>
      </c>
      <c r="AL109" s="372">
        <f t="shared" si="23"/>
        <v>24.449394596189926</v>
      </c>
      <c r="AM109" s="114">
        <f t="shared" si="24"/>
        <v>0.5433198799153317</v>
      </c>
      <c r="AN109" s="365">
        <f t="shared" si="8"/>
        <v>163.674</v>
      </c>
      <c r="AO109" s="363">
        <f t="shared" si="25"/>
        <v>0</v>
      </c>
      <c r="AP109" s="213"/>
      <c r="AQ109" s="152"/>
    </row>
    <row r="110" spans="2:43" ht="12.75">
      <c r="B110" s="165">
        <v>29000</v>
      </c>
      <c r="C110" s="166">
        <f t="shared" si="27"/>
        <v>0</v>
      </c>
      <c r="D110" s="382">
        <f t="shared" si="28"/>
        <v>20.05561321214818</v>
      </c>
      <c r="E110" s="115">
        <f t="shared" si="11"/>
        <v>0.9972270500253517</v>
      </c>
      <c r="F110" s="372">
        <f t="shared" si="12"/>
        <v>25.14347408124086</v>
      </c>
      <c r="G110" s="114">
        <f t="shared" si="13"/>
        <v>0.5587438684720192</v>
      </c>
      <c r="H110" s="365">
        <f t="shared" si="6"/>
        <v>106.168</v>
      </c>
      <c r="I110" s="363">
        <f t="shared" si="29"/>
        <v>0</v>
      </c>
      <c r="J110" s="213"/>
      <c r="K110" s="152"/>
      <c r="R110" s="165">
        <v>29000</v>
      </c>
      <c r="S110" s="166">
        <f t="shared" si="15"/>
        <v>0</v>
      </c>
      <c r="T110" s="382">
        <f t="shared" si="16"/>
        <v>20.05561321214818</v>
      </c>
      <c r="U110" s="115">
        <f t="shared" si="17"/>
        <v>0.9473656975240842</v>
      </c>
      <c r="V110" s="372">
        <f t="shared" si="18"/>
        <v>27.033749492511863</v>
      </c>
      <c r="W110" s="114">
        <f t="shared" si="19"/>
        <v>0.6007499887224859</v>
      </c>
      <c r="X110" s="365">
        <f t="shared" si="7"/>
        <v>32.661</v>
      </c>
      <c r="Y110" s="363">
        <f t="shared" si="20"/>
        <v>0</v>
      </c>
      <c r="Z110" s="213"/>
      <c r="AA110" s="152"/>
      <c r="AH110" s="165">
        <v>29000</v>
      </c>
      <c r="AI110" s="166">
        <f t="shared" si="21"/>
        <v>0</v>
      </c>
      <c r="AJ110" s="382">
        <f t="shared" si="26"/>
        <v>18.080661304457795</v>
      </c>
      <c r="AK110" s="115">
        <f t="shared" si="22"/>
        <v>0.9955388078400701</v>
      </c>
      <c r="AL110" s="372">
        <f t="shared" si="23"/>
        <v>25.2037519025003</v>
      </c>
      <c r="AM110" s="114">
        <f t="shared" si="24"/>
        <v>0.5600833756111178</v>
      </c>
      <c r="AN110" s="365">
        <f t="shared" si="8"/>
        <v>102.251</v>
      </c>
      <c r="AO110" s="363">
        <f t="shared" si="25"/>
        <v>0</v>
      </c>
      <c r="AP110" s="213"/>
      <c r="AQ110" s="152"/>
    </row>
    <row r="111" spans="2:43" ht="12.75">
      <c r="B111" s="168">
        <v>30000</v>
      </c>
      <c r="C111" s="169">
        <f t="shared" si="9"/>
        <v>0</v>
      </c>
      <c r="D111" s="383">
        <f t="shared" si="10"/>
        <v>20.47687397746747</v>
      </c>
      <c r="E111" s="120">
        <f t="shared" si="11"/>
        <v>0.9767115831258122</v>
      </c>
      <c r="F111" s="373">
        <f t="shared" si="12"/>
        <v>25.893052202658414</v>
      </c>
      <c r="G111" s="119">
        <f t="shared" si="13"/>
        <v>0.5754011600590758</v>
      </c>
      <c r="H111" s="366">
        <f t="shared" si="6"/>
        <v>66.524</v>
      </c>
      <c r="I111" s="364">
        <f>IF(G111&lt;0.5,0,C111/H111)</f>
        <v>0</v>
      </c>
      <c r="J111" s="213"/>
      <c r="K111" s="152"/>
      <c r="R111" s="168">
        <v>30000</v>
      </c>
      <c r="S111" s="169">
        <f t="shared" si="15"/>
        <v>0</v>
      </c>
      <c r="T111" s="383">
        <f t="shared" si="16"/>
        <v>20.47687397746747</v>
      </c>
      <c r="U111" s="120">
        <f t="shared" si="17"/>
        <v>0.9278760039695216</v>
      </c>
      <c r="V111" s="373">
        <f t="shared" si="18"/>
        <v>27.83968057005489</v>
      </c>
      <c r="W111" s="119">
        <f t="shared" si="19"/>
        <v>0.618659568223442</v>
      </c>
      <c r="X111" s="366">
        <f t="shared" si="7"/>
        <v>19.758</v>
      </c>
      <c r="Y111" s="364">
        <f>IF(W111&lt;0.5,0,S111/X111)</f>
        <v>0</v>
      </c>
      <c r="Z111" s="213"/>
      <c r="AA111" s="152"/>
      <c r="AH111" s="168">
        <v>30000</v>
      </c>
      <c r="AI111" s="169">
        <f t="shared" si="21"/>
        <v>0</v>
      </c>
      <c r="AJ111" s="383">
        <f t="shared" si="26"/>
        <v>18.460188599384686</v>
      </c>
      <c r="AK111" s="120">
        <f t="shared" si="22"/>
        <v>0.9750712948078968</v>
      </c>
      <c r="AL111" s="373">
        <f t="shared" si="23"/>
        <v>25.95462963252438</v>
      </c>
      <c r="AM111" s="119">
        <f t="shared" si="24"/>
        <v>0.5767695473894306</v>
      </c>
      <c r="AN111" s="366">
        <f t="shared" si="8"/>
        <v>64.017</v>
      </c>
      <c r="AO111" s="364">
        <f>IF(AM111&lt;0.5,0,AI111/AN111)</f>
        <v>0</v>
      </c>
      <c r="AP111" s="213"/>
      <c r="AQ111" s="152"/>
    </row>
    <row r="112" spans="2:43" ht="12.75">
      <c r="B112" s="222" t="s">
        <v>200</v>
      </c>
      <c r="C112" s="224"/>
      <c r="D112" s="369"/>
      <c r="E112" s="377"/>
      <c r="F112" s="369"/>
      <c r="G112" s="223"/>
      <c r="H112" s="347"/>
      <c r="I112" s="343"/>
      <c r="J112" s="213"/>
      <c r="K112" s="152"/>
      <c r="R112" s="222" t="s">
        <v>200</v>
      </c>
      <c r="S112" s="224"/>
      <c r="T112" s="369"/>
      <c r="U112" s="377"/>
      <c r="V112" s="369"/>
      <c r="W112" s="223"/>
      <c r="X112" s="347"/>
      <c r="Y112" s="343"/>
      <c r="Z112" s="213"/>
      <c r="AA112" s="152"/>
      <c r="AH112" s="222" t="s">
        <v>200</v>
      </c>
      <c r="AI112" s="224"/>
      <c r="AJ112" s="369"/>
      <c r="AK112" s="377"/>
      <c r="AL112" s="369"/>
      <c r="AM112" s="223"/>
      <c r="AN112" s="347"/>
      <c r="AO112" s="343"/>
      <c r="AP112" s="213"/>
      <c r="AQ112" s="152"/>
    </row>
    <row r="113" spans="2:43" ht="12.75">
      <c r="B113" s="165">
        <v>24000</v>
      </c>
      <c r="C113" s="166">
        <f>VLOOKUP(B113,$B$50:$I$83,8)</f>
        <v>153.03148655212829</v>
      </c>
      <c r="D113" s="384"/>
      <c r="E113" s="378"/>
      <c r="F113" s="374">
        <v>15</v>
      </c>
      <c r="G113" s="292">
        <f>F113/O$89</f>
        <v>0.3333333333333333</v>
      </c>
      <c r="H113" s="365" t="str">
        <f t="shared" si="6"/>
        <v>Infinito</v>
      </c>
      <c r="I113" s="363">
        <f>IF(G113&lt;0.5,0,C113/H113)</f>
        <v>0</v>
      </c>
      <c r="J113" s="213"/>
      <c r="K113" s="152"/>
      <c r="R113" s="165">
        <v>24000</v>
      </c>
      <c r="S113" s="166">
        <f>VLOOKUP(R113,$B$50:$I$83,8)</f>
        <v>153.03148655212829</v>
      </c>
      <c r="T113" s="384"/>
      <c r="U113" s="378"/>
      <c r="V113" s="374">
        <v>15</v>
      </c>
      <c r="W113" s="292">
        <f>V113/AE$89</f>
        <v>0.3333333333333333</v>
      </c>
      <c r="X113" s="365" t="str">
        <f t="shared" si="7"/>
        <v>Infinito</v>
      </c>
      <c r="Y113" s="363">
        <f>IF(W113&lt;0.5,0,S113/X113)</f>
        <v>0</v>
      </c>
      <c r="Z113" s="213"/>
      <c r="AA113" s="152"/>
      <c r="AH113" s="165">
        <v>24000</v>
      </c>
      <c r="AI113" s="166">
        <f>VLOOKUP(AH113,$B$50:$I$83,8)</f>
        <v>153.03148655212829</v>
      </c>
      <c r="AJ113" s="384"/>
      <c r="AK113" s="378"/>
      <c r="AL113" s="374">
        <v>14</v>
      </c>
      <c r="AM113" s="292">
        <f>AL113/AU$89</f>
        <v>0.3111111111111111</v>
      </c>
      <c r="AN113" s="365" t="str">
        <f t="shared" si="8"/>
        <v>Infinito</v>
      </c>
      <c r="AO113" s="363">
        <f>IF(AM113&lt;0.5,0,AI113/AN113)</f>
        <v>0</v>
      </c>
      <c r="AP113" s="213"/>
      <c r="AQ113" s="152"/>
    </row>
    <row r="114" spans="2:44" ht="12.75">
      <c r="B114" s="168">
        <v>32000</v>
      </c>
      <c r="C114" s="169">
        <f>VLOOKUP(B114,$B$50:$I$83,8)</f>
        <v>0</v>
      </c>
      <c r="D114" s="385"/>
      <c r="E114" s="379"/>
      <c r="F114" s="375">
        <v>18</v>
      </c>
      <c r="G114" s="293">
        <f>F114/O$89</f>
        <v>0.4</v>
      </c>
      <c r="H114" s="366" t="str">
        <f>IF(G114&lt;0.5,"Infinito",ROUND(6.8539*10^11*EXP(-28.0638*G114),0)/1000)</f>
        <v>Infinito</v>
      </c>
      <c r="I114" s="364">
        <f>IF(G114&lt;0.5,0,C114/H114)</f>
        <v>0</v>
      </c>
      <c r="J114" s="289"/>
      <c r="K114" s="213"/>
      <c r="L114" s="152"/>
      <c r="R114" s="168">
        <v>32000</v>
      </c>
      <c r="S114" s="169">
        <f>VLOOKUP(R114,$B$50:$I$83,8)</f>
        <v>0</v>
      </c>
      <c r="T114" s="385"/>
      <c r="U114" s="379"/>
      <c r="V114" s="375">
        <v>18</v>
      </c>
      <c r="W114" s="293">
        <f>V114/AE$89</f>
        <v>0.4</v>
      </c>
      <c r="X114" s="366" t="str">
        <f>IF(W114&lt;0.5,"Infinito",ROUND(6.8539*10^11*EXP(-28.0638*W114),0)/1000)</f>
        <v>Infinito</v>
      </c>
      <c r="Y114" s="364">
        <f>IF(W114&lt;0.5,0,S114/X114)</f>
        <v>0</v>
      </c>
      <c r="Z114" s="289"/>
      <c r="AA114" s="213"/>
      <c r="AB114" s="152"/>
      <c r="AH114" s="168">
        <v>32000</v>
      </c>
      <c r="AI114" s="169">
        <f>VLOOKUP(AH114,$B$50:$I$83,8)</f>
        <v>0</v>
      </c>
      <c r="AJ114" s="385"/>
      <c r="AK114" s="379"/>
      <c r="AL114" s="375">
        <v>17</v>
      </c>
      <c r="AM114" s="293">
        <f>AL114/AU$89</f>
        <v>0.37777777777777777</v>
      </c>
      <c r="AN114" s="366" t="str">
        <f>IF(AM114&lt;0.5,"Infinito",ROUND(6.8539*10^11*EXP(-28.0638*AM114),0)/1000)</f>
        <v>Infinito</v>
      </c>
      <c r="AO114" s="364">
        <f>IF(AM114&lt;0.5,0,AI114/AN114)</f>
        <v>0</v>
      </c>
      <c r="AP114" s="289"/>
      <c r="AQ114" s="213"/>
      <c r="AR114" s="152"/>
    </row>
    <row r="115" spans="9:44" ht="12.75">
      <c r="I115" s="294">
        <f>SUM(I90:I114)</f>
        <v>0</v>
      </c>
      <c r="J115" s="289"/>
      <c r="K115" s="213"/>
      <c r="L115" s="152"/>
      <c r="Y115" s="294">
        <f>SUM(Y90:Y114)</f>
        <v>0.036094305214115094</v>
      </c>
      <c r="Z115" s="289"/>
      <c r="AA115" s="213"/>
      <c r="AB115" s="152"/>
      <c r="AO115" s="294">
        <f>SUM(AO90:AO114)</f>
        <v>0</v>
      </c>
      <c r="AP115" s="289"/>
      <c r="AQ115" s="213"/>
      <c r="AR115" s="152"/>
    </row>
    <row r="116" spans="2:46" ht="12.75">
      <c r="B116" s="233" t="s">
        <v>84</v>
      </c>
      <c r="C116" s="210"/>
      <c r="K116" s="248"/>
      <c r="L116" s="289"/>
      <c r="M116" s="213"/>
      <c r="N116" s="152"/>
      <c r="R116" s="233" t="s">
        <v>84</v>
      </c>
      <c r="S116" s="210"/>
      <c r="AA116" s="248"/>
      <c r="AB116" s="289"/>
      <c r="AC116" s="213"/>
      <c r="AD116" s="152"/>
      <c r="AH116" s="233" t="s">
        <v>84</v>
      </c>
      <c r="AI116" s="210"/>
      <c r="AQ116" s="248"/>
      <c r="AR116" s="289"/>
      <c r="AS116" s="213"/>
      <c r="AT116" s="152"/>
    </row>
    <row r="117" spans="2:43" s="299" customFormat="1" ht="12.75">
      <c r="B117" s="482" t="s">
        <v>80</v>
      </c>
      <c r="C117" s="483"/>
      <c r="D117" s="484"/>
      <c r="E117" s="357" t="s">
        <v>98</v>
      </c>
      <c r="F117" s="186" t="s">
        <v>174</v>
      </c>
      <c r="G117" s="65" t="s">
        <v>170</v>
      </c>
      <c r="H117" s="186" t="s">
        <v>175</v>
      </c>
      <c r="I117" s="64" t="s">
        <v>176</v>
      </c>
      <c r="J117" s="65" t="s">
        <v>177</v>
      </c>
      <c r="K117" s="62" t="s">
        <v>198</v>
      </c>
      <c r="R117" s="482" t="s">
        <v>80</v>
      </c>
      <c r="S117" s="483"/>
      <c r="T117" s="484"/>
      <c r="U117" s="357" t="s">
        <v>98</v>
      </c>
      <c r="V117" s="186" t="s">
        <v>174</v>
      </c>
      <c r="W117" s="65" t="s">
        <v>170</v>
      </c>
      <c r="X117" s="186" t="s">
        <v>175</v>
      </c>
      <c r="Y117" s="64" t="s">
        <v>176</v>
      </c>
      <c r="Z117" s="65" t="s">
        <v>177</v>
      </c>
      <c r="AA117" s="62" t="s">
        <v>198</v>
      </c>
      <c r="AH117" s="482" t="s">
        <v>80</v>
      </c>
      <c r="AI117" s="483"/>
      <c r="AJ117" s="484"/>
      <c r="AK117" s="357" t="s">
        <v>98</v>
      </c>
      <c r="AL117" s="186" t="s">
        <v>174</v>
      </c>
      <c r="AM117" s="65" t="s">
        <v>170</v>
      </c>
      <c r="AN117" s="186" t="s">
        <v>175</v>
      </c>
      <c r="AO117" s="64" t="s">
        <v>176</v>
      </c>
      <c r="AP117" s="65" t="s">
        <v>177</v>
      </c>
      <c r="AQ117" s="62" t="s">
        <v>198</v>
      </c>
    </row>
    <row r="118" spans="2:43" s="299" customFormat="1" ht="12.75">
      <c r="B118" s="316">
        <v>7</v>
      </c>
      <c r="C118" s="485" t="str">
        <f>VLOOKUP(B118,$L$26:$P$32,2)</f>
        <v>Hormigón</v>
      </c>
      <c r="D118" s="486"/>
      <c r="E118" s="358">
        <f>O96</f>
        <v>20</v>
      </c>
      <c r="F118" s="332">
        <f>VLOOKUP(B118,$L$26:$P$32,4)</f>
        <v>380</v>
      </c>
      <c r="G118" s="339">
        <f>F118*E118/100</f>
        <v>76</v>
      </c>
      <c r="H118" s="335">
        <f>G118*$O$33*1000</f>
        <v>547200</v>
      </c>
      <c r="I118" s="231"/>
      <c r="J118" s="347">
        <f>H118+I118</f>
        <v>547200</v>
      </c>
      <c r="K118" s="343"/>
      <c r="R118" s="316">
        <v>7</v>
      </c>
      <c r="S118" s="485" t="str">
        <f>VLOOKUP(R118,$L$26:$P$32,2)</f>
        <v>Hormigón</v>
      </c>
      <c r="T118" s="486"/>
      <c r="U118" s="358">
        <f>AE96</f>
        <v>19</v>
      </c>
      <c r="V118" s="332">
        <f>VLOOKUP(R118,$L$26:$P$32,4)</f>
        <v>380</v>
      </c>
      <c r="W118" s="339">
        <f>V118*U118/100</f>
        <v>72.2</v>
      </c>
      <c r="X118" s="335">
        <f>W118*$O$33*1000</f>
        <v>519840.00000000006</v>
      </c>
      <c r="Y118" s="231"/>
      <c r="Z118" s="347">
        <f>X118+Y118</f>
        <v>519840.00000000006</v>
      </c>
      <c r="AA118" s="343"/>
      <c r="AH118" s="316">
        <v>7</v>
      </c>
      <c r="AI118" s="485" t="str">
        <f>VLOOKUP(AH118,$L$26:$P$32,2)</f>
        <v>Hormigón</v>
      </c>
      <c r="AJ118" s="486"/>
      <c r="AK118" s="358">
        <f>AU96</f>
        <v>18</v>
      </c>
      <c r="AL118" s="332">
        <f>VLOOKUP(AH118,$L$26:$P$32,4)</f>
        <v>380</v>
      </c>
      <c r="AM118" s="339">
        <f>AL118*AK118/100</f>
        <v>68.4</v>
      </c>
      <c r="AN118" s="335">
        <f>AM118*$O$33*1000</f>
        <v>492480.00000000006</v>
      </c>
      <c r="AO118" s="231"/>
      <c r="AP118" s="347">
        <f>AN118+AO118</f>
        <v>492480.00000000006</v>
      </c>
      <c r="AQ118" s="343"/>
    </row>
    <row r="119" spans="2:43" s="299" customFormat="1" ht="12.75">
      <c r="B119" s="309">
        <v>5</v>
      </c>
      <c r="C119" s="487" t="str">
        <f>VLOOKUP(B119,$L$26:$P$32,2)</f>
        <v>Base Cementada</v>
      </c>
      <c r="D119" s="488"/>
      <c r="E119" s="359">
        <f>M88</f>
        <v>10</v>
      </c>
      <c r="F119" s="333">
        <f>VLOOKUP(B119,$L$26:$P$32,4)</f>
        <v>43</v>
      </c>
      <c r="G119" s="340">
        <f>F119*E119/100</f>
        <v>4.3</v>
      </c>
      <c r="H119" s="336">
        <f>G119*$O$33*1000</f>
        <v>30960</v>
      </c>
      <c r="I119" s="220">
        <f>0.5*E119/100*2*F119*1000</f>
        <v>4300</v>
      </c>
      <c r="J119" s="166">
        <f>H119+I119</f>
        <v>35260</v>
      </c>
      <c r="K119" s="354">
        <v>50</v>
      </c>
      <c r="R119" s="309">
        <v>5</v>
      </c>
      <c r="S119" s="487" t="str">
        <f>VLOOKUP(R119,$L$26:$P$32,2)</f>
        <v>Base Cementada</v>
      </c>
      <c r="T119" s="488"/>
      <c r="U119" s="359">
        <f>AC88</f>
        <v>10</v>
      </c>
      <c r="V119" s="333">
        <f>VLOOKUP(R119,$L$26:$P$32,4)</f>
        <v>43</v>
      </c>
      <c r="W119" s="340">
        <f>V119*U119/100</f>
        <v>4.3</v>
      </c>
      <c r="X119" s="336">
        <f>W119*$O$33*1000</f>
        <v>30960</v>
      </c>
      <c r="Y119" s="220">
        <f>0.5*U119/100*2*V119*1000</f>
        <v>4300</v>
      </c>
      <c r="Z119" s="166">
        <f>X119+Y119</f>
        <v>35260</v>
      </c>
      <c r="AA119" s="354">
        <v>50</v>
      </c>
      <c r="AH119" s="309">
        <v>5</v>
      </c>
      <c r="AI119" s="487" t="str">
        <f>VLOOKUP(AH119,$L$26:$P$32,2)</f>
        <v>Base Cementada</v>
      </c>
      <c r="AJ119" s="488"/>
      <c r="AK119" s="359">
        <f>AS88</f>
        <v>15</v>
      </c>
      <c r="AL119" s="333">
        <f>VLOOKUP(AH119,$L$26:$P$32,4)</f>
        <v>43</v>
      </c>
      <c r="AM119" s="340">
        <f>AL119*AK119/100</f>
        <v>6.45</v>
      </c>
      <c r="AN119" s="336">
        <f>AM119*$O$33*1000</f>
        <v>46440.00000000001</v>
      </c>
      <c r="AO119" s="220">
        <f>0.5*AK119/100*2*AL119*1000</f>
        <v>6450</v>
      </c>
      <c r="AP119" s="166">
        <f>AN119+AO119</f>
        <v>52890.00000000001</v>
      </c>
      <c r="AQ119" s="354">
        <v>50</v>
      </c>
    </row>
    <row r="120" spans="2:43" s="299" customFormat="1" ht="12.75">
      <c r="B120" s="309">
        <v>6</v>
      </c>
      <c r="C120" s="487" t="str">
        <f>VLOOKUP(B120,$L$26:$P$32,2)</f>
        <v>Mezcla asfáltica</v>
      </c>
      <c r="D120" s="488"/>
      <c r="E120" s="359"/>
      <c r="F120" s="333">
        <f>VLOOKUP(B120,$L$26:$P$32,4)</f>
        <v>95</v>
      </c>
      <c r="G120" s="340">
        <f>F120*E120/100*$H$47</f>
        <v>0</v>
      </c>
      <c r="H120" s="336">
        <f>G120*$H$44*1000</f>
        <v>0</v>
      </c>
      <c r="I120" s="220">
        <f>$O$34*$O$35/100*$O$36*2*F120*1000</f>
        <v>54720</v>
      </c>
      <c r="J120" s="166">
        <f>H120+I120</f>
        <v>54720</v>
      </c>
      <c r="K120" s="344" t="s">
        <v>194</v>
      </c>
      <c r="R120" s="309">
        <v>6</v>
      </c>
      <c r="S120" s="487" t="str">
        <f>VLOOKUP(R120,$L$26:$P$32,2)</f>
        <v>Mezcla asfáltica</v>
      </c>
      <c r="T120" s="488"/>
      <c r="U120" s="359"/>
      <c r="V120" s="333">
        <f>VLOOKUP(R120,$L$26:$P$32,4)</f>
        <v>95</v>
      </c>
      <c r="W120" s="340">
        <f>V120*U120/100*$H$47</f>
        <v>0</v>
      </c>
      <c r="X120" s="336">
        <f>W120*$H$44*1000</f>
        <v>0</v>
      </c>
      <c r="Y120" s="220">
        <f>$O$34*$O$35/100*$O$36*2*V120*1000</f>
        <v>54720</v>
      </c>
      <c r="Z120" s="166">
        <f>X120+Y120</f>
        <v>54720</v>
      </c>
      <c r="AA120" s="344" t="s">
        <v>194</v>
      </c>
      <c r="AH120" s="309">
        <v>6</v>
      </c>
      <c r="AI120" s="487" t="str">
        <f>VLOOKUP(AH120,$L$26:$P$32,2)</f>
        <v>Mezcla asfáltica</v>
      </c>
      <c r="AJ120" s="488"/>
      <c r="AK120" s="359"/>
      <c r="AL120" s="333">
        <f>VLOOKUP(AH120,$L$26:$P$32,4)</f>
        <v>95</v>
      </c>
      <c r="AM120" s="340">
        <f>AL120*AK120/100*$H$47</f>
        <v>0</v>
      </c>
      <c r="AN120" s="336">
        <f>AM120*$H$44*1000</f>
        <v>0</v>
      </c>
      <c r="AO120" s="220">
        <f>$O$34*$O$35/100*$O$36*2*AL120*1000</f>
        <v>54720</v>
      </c>
      <c r="AP120" s="166">
        <f>AN120+AO120</f>
        <v>54720</v>
      </c>
      <c r="AQ120" s="344" t="s">
        <v>194</v>
      </c>
    </row>
    <row r="121" spans="2:43" s="299" customFormat="1" ht="12.75">
      <c r="B121" s="309">
        <v>3</v>
      </c>
      <c r="C121" s="487" t="str">
        <f>VLOOKUP(B121,$L$26:$P$32,2)</f>
        <v>CBR 80%</v>
      </c>
      <c r="D121" s="488"/>
      <c r="E121" s="359">
        <f>M90</f>
        <v>0</v>
      </c>
      <c r="F121" s="333">
        <f>VLOOKUP(B121,$L$26:$P$32,4)</f>
        <v>26</v>
      </c>
      <c r="G121" s="340">
        <f>F121*E121/100</f>
        <v>0</v>
      </c>
      <c r="H121" s="336">
        <f>G121*$O$33*1000</f>
        <v>0</v>
      </c>
      <c r="I121" s="220">
        <f>($O$34*(E118+E119-$O$35)/100-0.5*E119/100+($O$35+(E118+E119-$O$35)/2)/100*3*(E118+E119-$O$35)/100)*2*F121*1000</f>
        <v>35425</v>
      </c>
      <c r="J121" s="166">
        <f>H121+I121</f>
        <v>35425</v>
      </c>
      <c r="K121" s="344" t="s">
        <v>195</v>
      </c>
      <c r="R121" s="309">
        <v>3</v>
      </c>
      <c r="S121" s="487" t="str">
        <f>VLOOKUP(R121,$L$26:$P$32,2)</f>
        <v>CBR 80%</v>
      </c>
      <c r="T121" s="488"/>
      <c r="U121" s="359">
        <f>AC90</f>
        <v>0</v>
      </c>
      <c r="V121" s="333">
        <f>VLOOKUP(R121,$L$26:$P$32,4)</f>
        <v>26</v>
      </c>
      <c r="W121" s="340">
        <f>V121*U121/100</f>
        <v>0</v>
      </c>
      <c r="X121" s="336">
        <f>W121*$O$33*1000</f>
        <v>0</v>
      </c>
      <c r="Y121" s="220">
        <f>($O$34*(U118+U119-$O$35)/100-0.5*U119/100+($O$35+(U118+U119-$O$35)/2)/100*3*(U118+U119-$O$35)/100)*2*V121*1000</f>
        <v>33716.799999999996</v>
      </c>
      <c r="Z121" s="166">
        <f>X121+Y121</f>
        <v>33716.799999999996</v>
      </c>
      <c r="AA121" s="344" t="s">
        <v>195</v>
      </c>
      <c r="AH121" s="309">
        <v>3</v>
      </c>
      <c r="AI121" s="487" t="str">
        <f>VLOOKUP(AH121,$L$26:$P$32,2)</f>
        <v>CBR 80%</v>
      </c>
      <c r="AJ121" s="488"/>
      <c r="AK121" s="359">
        <f>AS90</f>
        <v>0</v>
      </c>
      <c r="AL121" s="333">
        <f>VLOOKUP(AH121,$L$26:$P$32,4)</f>
        <v>26</v>
      </c>
      <c r="AM121" s="340">
        <f>AL121*AK121/100</f>
        <v>0</v>
      </c>
      <c r="AN121" s="336">
        <f>AM121*$O$33*1000</f>
        <v>0</v>
      </c>
      <c r="AO121" s="220">
        <f>($O$34*(AK118+AK119-$O$35)/100-0.5*AK119/100+($O$35+(AK118+AK119-$O$35)/2)/100*3*(AK118+AK119-$O$35)/100)*2*AL121*1000</f>
        <v>39343.20000000001</v>
      </c>
      <c r="AP121" s="166">
        <f>AN121+AO121</f>
        <v>39343.20000000001</v>
      </c>
      <c r="AQ121" s="344" t="s">
        <v>195</v>
      </c>
    </row>
    <row r="122" spans="2:43" s="299" customFormat="1" ht="12.75">
      <c r="B122" s="353">
        <v>8</v>
      </c>
      <c r="C122" s="480" t="s">
        <v>165</v>
      </c>
      <c r="D122" s="481"/>
      <c r="E122" s="360"/>
      <c r="F122" s="356">
        <f>VLOOKUP(B122,$L$26:$P$32,4)</f>
        <v>1.6</v>
      </c>
      <c r="G122" s="341">
        <f>$H$42+MIN(INT(E120/8.1),INT(E120/5.1))*$H$43</f>
        <v>0</v>
      </c>
      <c r="H122" s="337">
        <f>G122*$H$44*1000</f>
        <v>0</v>
      </c>
      <c r="I122" s="221">
        <f>F122*$O$34*2*1000</f>
        <v>7680</v>
      </c>
      <c r="J122" s="169">
        <f>H122+I122</f>
        <v>7680</v>
      </c>
      <c r="K122" s="355" t="s">
        <v>194</v>
      </c>
      <c r="R122" s="353">
        <v>8</v>
      </c>
      <c r="S122" s="480" t="s">
        <v>165</v>
      </c>
      <c r="T122" s="481"/>
      <c r="U122" s="360"/>
      <c r="V122" s="356">
        <f>VLOOKUP(R122,$L$26:$P$32,4)</f>
        <v>1.6</v>
      </c>
      <c r="W122" s="341">
        <f>$H$42+MIN(INT(U120/8.1),INT(U120/5.1))*$H$43</f>
        <v>0</v>
      </c>
      <c r="X122" s="337">
        <f>W122*$H$44*1000</f>
        <v>0</v>
      </c>
      <c r="Y122" s="221">
        <f>V122*$O$34*2*1000</f>
        <v>7680</v>
      </c>
      <c r="Z122" s="169">
        <f>X122+Y122</f>
        <v>7680</v>
      </c>
      <c r="AA122" s="355" t="s">
        <v>194</v>
      </c>
      <c r="AH122" s="353">
        <v>8</v>
      </c>
      <c r="AI122" s="480" t="s">
        <v>165</v>
      </c>
      <c r="AJ122" s="481"/>
      <c r="AK122" s="360"/>
      <c r="AL122" s="356">
        <f>VLOOKUP(AH122,$L$26:$P$32,4)</f>
        <v>1.6</v>
      </c>
      <c r="AM122" s="341">
        <f>$H$42+MIN(INT(AK120/8.1),INT(AK120/5.1))*$H$43</f>
        <v>0</v>
      </c>
      <c r="AN122" s="337">
        <f>AM122*$H$44*1000</f>
        <v>0</v>
      </c>
      <c r="AO122" s="221">
        <f>AL122*$O$34*2*1000</f>
        <v>7680</v>
      </c>
      <c r="AP122" s="169">
        <f>AN122+AO122</f>
        <v>7680</v>
      </c>
      <c r="AQ122" s="355" t="s">
        <v>194</v>
      </c>
    </row>
    <row r="123" spans="2:43" s="299" customFormat="1" ht="12.75">
      <c r="B123" s="349"/>
      <c r="C123" s="350"/>
      <c r="D123" s="351"/>
      <c r="E123" s="361"/>
      <c r="F123" s="334" t="s">
        <v>101</v>
      </c>
      <c r="G123" s="342">
        <f>SUM(G118:G122)</f>
        <v>80.3</v>
      </c>
      <c r="H123" s="338">
        <f>SUM(H118:H122)</f>
        <v>578160</v>
      </c>
      <c r="I123" s="321">
        <f>SUM(I118:I122)</f>
        <v>102125</v>
      </c>
      <c r="J123" s="348">
        <f>SUM(J118:J122)</f>
        <v>680285</v>
      </c>
      <c r="K123" s="346"/>
      <c r="R123" s="349"/>
      <c r="S123" s="350"/>
      <c r="T123" s="351"/>
      <c r="U123" s="361"/>
      <c r="V123" s="334" t="s">
        <v>101</v>
      </c>
      <c r="W123" s="342">
        <f>SUM(W118:W122)</f>
        <v>76.5</v>
      </c>
      <c r="X123" s="338">
        <f>SUM(X118:X122)</f>
        <v>550800</v>
      </c>
      <c r="Y123" s="321">
        <f>SUM(Y118:Y122)</f>
        <v>100416.79999999999</v>
      </c>
      <c r="Z123" s="348">
        <f>SUM(Z118:Z122)</f>
        <v>651216.8</v>
      </c>
      <c r="AA123" s="346"/>
      <c r="AH123" s="349"/>
      <c r="AI123" s="350"/>
      <c r="AJ123" s="351"/>
      <c r="AK123" s="361"/>
      <c r="AL123" s="334" t="s">
        <v>101</v>
      </c>
      <c r="AM123" s="342">
        <f>SUM(AM118:AM122)</f>
        <v>74.85000000000001</v>
      </c>
      <c r="AN123" s="338">
        <f>SUM(AN118:AN122)</f>
        <v>538920.0000000001</v>
      </c>
      <c r="AO123" s="321">
        <f>SUM(AO118:AO122)</f>
        <v>108193.20000000001</v>
      </c>
      <c r="AP123" s="348">
        <f>SUM(AP118:AP122)</f>
        <v>647113.2000000002</v>
      </c>
      <c r="AQ123" s="346"/>
    </row>
    <row r="124" spans="2:43" s="299" customFormat="1" ht="12.75">
      <c r="B124"/>
      <c r="C124"/>
      <c r="D124"/>
      <c r="E124"/>
      <c r="F124" s="256"/>
      <c r="G124" s="256"/>
      <c r="H124" s="258">
        <f>H123/J123</f>
        <v>0.8498790947911538</v>
      </c>
      <c r="I124" s="258">
        <f>I123/J123</f>
        <v>0.1501209052088463</v>
      </c>
      <c r="J124" s="257"/>
      <c r="K124"/>
      <c r="R124"/>
      <c r="S124"/>
      <c r="T124"/>
      <c r="U124"/>
      <c r="V124" s="256"/>
      <c r="W124" s="256"/>
      <c r="X124" s="258">
        <f>X123/Z123</f>
        <v>0.845801275397072</v>
      </c>
      <c r="Y124" s="258">
        <f>Y123/Z123</f>
        <v>0.1541987246029279</v>
      </c>
      <c r="Z124" s="257"/>
      <c r="AA124"/>
      <c r="AH124"/>
      <c r="AI124"/>
      <c r="AJ124"/>
      <c r="AK124"/>
      <c r="AL124" s="256"/>
      <c r="AM124" s="256"/>
      <c r="AN124" s="258">
        <f>AN123/AP123</f>
        <v>0.8328063776167755</v>
      </c>
      <c r="AO124" s="258">
        <f>AO123/AP123</f>
        <v>0.1671936223832244</v>
      </c>
      <c r="AP124" s="257"/>
      <c r="AQ124"/>
    </row>
    <row r="125" spans="7:18" s="299" customFormat="1" ht="12.75">
      <c r="G125" s="300"/>
      <c r="O125" s="301"/>
      <c r="P125" s="302"/>
      <c r="Q125" s="219"/>
      <c r="R125" s="303"/>
    </row>
    <row r="126" spans="2:11" ht="12.75">
      <c r="B126" s="151" t="s">
        <v>158</v>
      </c>
      <c r="H126" s="308" t="s">
        <v>147</v>
      </c>
      <c r="I126" s="306">
        <f>O137</f>
        <v>21</v>
      </c>
      <c r="J126" s="289"/>
      <c r="K126" s="151" t="s">
        <v>160</v>
      </c>
    </row>
    <row r="127" ht="6" customHeight="1">
      <c r="J127" s="289"/>
    </row>
    <row r="128" spans="2:16" ht="12.75">
      <c r="B128" s="225" t="s">
        <v>128</v>
      </c>
      <c r="C128" s="227" t="s">
        <v>148</v>
      </c>
      <c r="D128" s="367" t="s">
        <v>150</v>
      </c>
      <c r="E128" s="227" t="s">
        <v>151</v>
      </c>
      <c r="F128" s="367" t="s">
        <v>152</v>
      </c>
      <c r="G128" s="226" t="s">
        <v>151</v>
      </c>
      <c r="H128" s="227" t="s">
        <v>148</v>
      </c>
      <c r="I128" s="307" t="s">
        <v>157</v>
      </c>
      <c r="K128" t="s">
        <v>74</v>
      </c>
      <c r="M128" s="154" t="s">
        <v>117</v>
      </c>
      <c r="N128" s="158" t="s">
        <v>119</v>
      </c>
      <c r="O128" s="494">
        <v>2.8</v>
      </c>
      <c r="P128" s="494"/>
    </row>
    <row r="129" spans="2:16" ht="12.75">
      <c r="B129" s="228" t="s">
        <v>154</v>
      </c>
      <c r="C129" s="230" t="s">
        <v>155</v>
      </c>
      <c r="D129" s="368" t="s">
        <v>129</v>
      </c>
      <c r="E129" s="376" t="s">
        <v>136</v>
      </c>
      <c r="F129" s="368" t="s">
        <v>137</v>
      </c>
      <c r="G129" s="229" t="s">
        <v>141</v>
      </c>
      <c r="H129" s="230" t="s">
        <v>155</v>
      </c>
      <c r="I129" s="362" t="s">
        <v>153</v>
      </c>
      <c r="K129" t="s">
        <v>159</v>
      </c>
      <c r="M129" s="296">
        <v>30</v>
      </c>
      <c r="N129" s="158" t="s">
        <v>119</v>
      </c>
      <c r="O129" s="499">
        <v>5.3</v>
      </c>
      <c r="P129" s="499"/>
    </row>
    <row r="130" spans="2:16" ht="12.75">
      <c r="B130" s="222" t="s">
        <v>126</v>
      </c>
      <c r="C130" s="224"/>
      <c r="D130" s="369"/>
      <c r="E130" s="377"/>
      <c r="F130" s="369"/>
      <c r="G130" s="223"/>
      <c r="H130" s="224"/>
      <c r="I130" s="343"/>
      <c r="K130" t="s">
        <v>142</v>
      </c>
      <c r="N130" s="148" t="s">
        <v>144</v>
      </c>
      <c r="O130" s="496">
        <v>45</v>
      </c>
      <c r="P130" s="496"/>
    </row>
    <row r="131" spans="2:16" ht="12.75">
      <c r="B131" s="165">
        <v>12000</v>
      </c>
      <c r="C131" s="166">
        <f>VLOOKUP(B131,$B$50:$C$83,2)</f>
        <v>1347.8990713162777</v>
      </c>
      <c r="D131" s="387">
        <f>0.09214*B131^0.55771</f>
        <v>17.355949613590507</v>
      </c>
      <c r="E131" s="115">
        <f>$O$137/D131</f>
        <v>1.2099597237569781</v>
      </c>
      <c r="F131" s="370">
        <f>25.0231*E131^-1.3753</f>
        <v>19.253348562003644</v>
      </c>
      <c r="G131" s="114">
        <f>F131/$O$89</f>
        <v>0.42785219026674765</v>
      </c>
      <c r="H131" s="365" t="str">
        <f>IF(G131&lt;0.5,"Infinito",ROUND(6.8539*10^11*EXP(-28.0638*G131),0)/1000)</f>
        <v>Infinito</v>
      </c>
      <c r="I131" s="363">
        <f>IF(G131&lt;0.5,0,C131/H131)</f>
        <v>0</v>
      </c>
      <c r="K131" t="s">
        <v>143</v>
      </c>
      <c r="N131" s="148" t="s">
        <v>145</v>
      </c>
      <c r="O131" s="496">
        <f>O130/2</f>
        <v>22.5</v>
      </c>
      <c r="P131" s="496"/>
    </row>
    <row r="132" spans="2:16" ht="12.75">
      <c r="B132" s="165">
        <v>13000</v>
      </c>
      <c r="C132" s="166">
        <f>VLOOKUP(B132,$B$50:$C$83,2)</f>
        <v>240.4571638239003</v>
      </c>
      <c r="D132" s="387">
        <f>0.09214*B132^0.55771</f>
        <v>18.148283501467084</v>
      </c>
      <c r="E132" s="115">
        <f>$O$137/D132</f>
        <v>1.1571342269533307</v>
      </c>
      <c r="F132" s="370">
        <f>25.0231*E132^-1.3753</f>
        <v>20.47243279575356</v>
      </c>
      <c r="G132" s="114">
        <f>F132/$O$89</f>
        <v>0.45494295101674576</v>
      </c>
      <c r="H132" s="365" t="str">
        <f>IF(G132&lt;0.5,"Infinito",ROUND(6.8539*10^11*EXP(-28.0638*G132),0)/1000)</f>
        <v>Infinito</v>
      </c>
      <c r="I132" s="363">
        <f>IF(G132&lt;0.5,0,C132/H132)</f>
        <v>0</v>
      </c>
      <c r="N132" s="148"/>
      <c r="O132" s="201"/>
      <c r="P132" s="201"/>
    </row>
    <row r="133" spans="2:16" ht="12.75">
      <c r="B133" s="165">
        <v>14000</v>
      </c>
      <c r="C133" s="166">
        <f>VLOOKUP(B133,$B$50:$C$83,2)</f>
        <v>17.27058363037586</v>
      </c>
      <c r="D133" s="387">
        <f>0.09214*B133^0.55771</f>
        <v>18.914082311508192</v>
      </c>
      <c r="E133" s="115">
        <f>$O$137/D133</f>
        <v>1.110283843230535</v>
      </c>
      <c r="F133" s="370">
        <f>25.0231*E133^-1.3753</f>
        <v>21.669839951545672</v>
      </c>
      <c r="G133" s="114">
        <f>F133/$O$89</f>
        <v>0.48155199892323713</v>
      </c>
      <c r="H133" s="365" t="str">
        <f>IF(G133&lt;0.5,"Infinito",ROUND(6.8539*10^11*EXP(-28.0638*G133),0)/1000)</f>
        <v>Infinito</v>
      </c>
      <c r="I133" s="363">
        <f>IF(G133&lt;0.5,0,C133/H133)</f>
        <v>0</v>
      </c>
      <c r="K133" t="s">
        <v>121</v>
      </c>
      <c r="N133" s="148" t="s">
        <v>120</v>
      </c>
      <c r="O133" s="497">
        <v>14000</v>
      </c>
      <c r="P133" s="497"/>
    </row>
    <row r="134" spans="2:16" ht="12.75">
      <c r="B134" s="165">
        <v>15000</v>
      </c>
      <c r="C134" s="166">
        <f>VLOOKUP(B134,$B$50:$C$83,2)</f>
        <v>0</v>
      </c>
      <c r="D134" s="387">
        <f>0.09214*B134^0.55771</f>
        <v>19.656041662992127</v>
      </c>
      <c r="E134" s="115">
        <f>$O$137/D134</f>
        <v>1.0683738038436417</v>
      </c>
      <c r="F134" s="370">
        <f>25.0231*E134^-1.3753</f>
        <v>22.84746666064307</v>
      </c>
      <c r="G134" s="114">
        <f>F134/$O$89</f>
        <v>0.5077214813476238</v>
      </c>
      <c r="H134" s="365">
        <f>IF(G134&lt;0.5,"Infinito",ROUND(6.8539*10^11*EXP(-28.0638*G134),0)/1000)</f>
        <v>444.48</v>
      </c>
      <c r="I134" s="363">
        <f>IF(G134&lt;0.5,0,C134/H134)</f>
        <v>0</v>
      </c>
      <c r="K134" t="s">
        <v>123</v>
      </c>
      <c r="N134" s="148" t="s">
        <v>122</v>
      </c>
      <c r="O134" s="234">
        <f>0.09214*O133^0.55771</f>
        <v>18.914082311508192</v>
      </c>
      <c r="P134" s="203"/>
    </row>
    <row r="135" spans="2:15" ht="12.75">
      <c r="B135" s="168">
        <v>16000</v>
      </c>
      <c r="C135" s="169">
        <f>VLOOKUP(B135,$B$50:$C$83,2)</f>
        <v>0</v>
      </c>
      <c r="D135" s="388">
        <f>0.09214*B135^0.55771</f>
        <v>20.376423739014562</v>
      </c>
      <c r="E135" s="120">
        <f>$O$137/D135</f>
        <v>1.030602831437564</v>
      </c>
      <c r="F135" s="371">
        <f>25.0231*E135^-1.3753</f>
        <v>24.006928752217778</v>
      </c>
      <c r="G135" s="119">
        <f>F135/$O$89</f>
        <v>0.5334873056048395</v>
      </c>
      <c r="H135" s="366">
        <f aca="true" t="shared" si="30" ref="H135:H152">IF(G135&lt;0.5,"Infinito",ROUND(6.8539*10^11*EXP(-28.0638*G135),0)/1000)</f>
        <v>215.685</v>
      </c>
      <c r="I135" s="364">
        <f>IF(G135&lt;0.5,0,C135/H135)</f>
        <v>0</v>
      </c>
      <c r="K135" t="s">
        <v>124</v>
      </c>
      <c r="N135" s="148" t="s">
        <v>125</v>
      </c>
      <c r="O135" s="215">
        <f>10.3933*O131^-0.7271</f>
        <v>1.0803924842333723</v>
      </c>
    </row>
    <row r="136" spans="2:16" ht="12.75">
      <c r="B136" s="222" t="s">
        <v>138</v>
      </c>
      <c r="C136" s="224"/>
      <c r="D136" s="369"/>
      <c r="E136" s="377"/>
      <c r="F136" s="369"/>
      <c r="G136" s="223"/>
      <c r="H136" s="347"/>
      <c r="I136" s="343"/>
      <c r="K136" t="s">
        <v>146</v>
      </c>
      <c r="N136" s="148" t="s">
        <v>156</v>
      </c>
      <c r="O136" s="203">
        <f>O134*O135</f>
        <v>20.43463237552482</v>
      </c>
      <c r="P136" s="203"/>
    </row>
    <row r="137" spans="2:16" ht="12.75">
      <c r="B137" s="165">
        <v>15000</v>
      </c>
      <c r="C137" s="166">
        <f aca="true" t="shared" si="31" ref="C137:C152">VLOOKUP(B137,$B$50:$F$83,5)</f>
        <v>0</v>
      </c>
      <c r="D137" s="389">
        <f>0.029419*B137^0.64273</f>
        <v>14.214351188793625</v>
      </c>
      <c r="E137" s="115">
        <f aca="true" t="shared" si="32" ref="E137:E152">$O$137/D137</f>
        <v>1.4773801294958913</v>
      </c>
      <c r="F137" s="372">
        <f>25.045*E137^-1.4132</f>
        <v>14.427616283769694</v>
      </c>
      <c r="G137" s="114">
        <f aca="true" t="shared" si="33" ref="G137:G152">F137/$O$89</f>
        <v>0.3206136951948821</v>
      </c>
      <c r="H137" s="365" t="str">
        <f t="shared" si="30"/>
        <v>Infinito</v>
      </c>
      <c r="I137" s="363">
        <f>IF(G137&lt;0.5,0,C137/H137)</f>
        <v>0</v>
      </c>
      <c r="K137" s="233" t="s">
        <v>147</v>
      </c>
      <c r="N137" s="148" t="s">
        <v>156</v>
      </c>
      <c r="O137" s="498">
        <f>INT(O136)+1</f>
        <v>21</v>
      </c>
      <c r="P137" s="498"/>
    </row>
    <row r="138" spans="2:9" ht="12.75">
      <c r="B138" s="165">
        <v>16000</v>
      </c>
      <c r="C138" s="166">
        <f t="shared" si="31"/>
        <v>298.94621515256614</v>
      </c>
      <c r="D138" s="389">
        <f aca="true" t="shared" si="34" ref="D138:D152">0.029419*B138^0.64273</f>
        <v>14.816374362562264</v>
      </c>
      <c r="E138" s="115">
        <f t="shared" si="32"/>
        <v>1.4173507962286918</v>
      </c>
      <c r="F138" s="372">
        <f aca="true" t="shared" si="35" ref="F138:F152">25.045*E138^-1.4132</f>
        <v>15.298654689536225</v>
      </c>
      <c r="G138" s="114">
        <f t="shared" si="33"/>
        <v>0.3399701042119161</v>
      </c>
      <c r="H138" s="365" t="str">
        <f t="shared" si="30"/>
        <v>Infinito</v>
      </c>
      <c r="I138" s="363">
        <f>IF(G138&lt;0.5,0,C138/H138)</f>
        <v>0</v>
      </c>
    </row>
    <row r="139" spans="2:9" ht="12.75">
      <c r="B139" s="165">
        <v>17000</v>
      </c>
      <c r="C139" s="166">
        <f t="shared" si="31"/>
        <v>0</v>
      </c>
      <c r="D139" s="389">
        <f t="shared" si="34"/>
        <v>15.405093603646412</v>
      </c>
      <c r="E139" s="115">
        <f t="shared" si="32"/>
        <v>1.3631854852884024</v>
      </c>
      <c r="F139" s="372">
        <f t="shared" si="35"/>
        <v>16.164712176535872</v>
      </c>
      <c r="G139" s="114">
        <f t="shared" si="33"/>
        <v>0.3592158261452416</v>
      </c>
      <c r="H139" s="365" t="str">
        <f t="shared" si="30"/>
        <v>Infinito</v>
      </c>
      <c r="I139" s="363">
        <f aca="true" t="shared" si="36" ref="I139:I151">IF(G139&lt;0.5,0,C139/H139)</f>
        <v>0</v>
      </c>
    </row>
    <row r="140" spans="2:9" ht="12.75">
      <c r="B140" s="165">
        <v>18000</v>
      </c>
      <c r="C140" s="166">
        <f t="shared" si="31"/>
        <v>0</v>
      </c>
      <c r="D140" s="389">
        <f t="shared" si="34"/>
        <v>15.981561245645164</v>
      </c>
      <c r="E140" s="115">
        <f t="shared" si="32"/>
        <v>1.3140142991800827</v>
      </c>
      <c r="F140" s="372">
        <f t="shared" si="35"/>
        <v>17.02610812407852</v>
      </c>
      <c r="G140" s="114">
        <f t="shared" si="33"/>
        <v>0.37835795831285596</v>
      </c>
      <c r="H140" s="365" t="str">
        <f t="shared" si="30"/>
        <v>Infinito</v>
      </c>
      <c r="I140" s="363">
        <f t="shared" si="36"/>
        <v>0</v>
      </c>
    </row>
    <row r="141" spans="2:9" ht="12.75">
      <c r="B141" s="165">
        <v>19000</v>
      </c>
      <c r="C141" s="166">
        <f t="shared" si="31"/>
        <v>207.31763989837685</v>
      </c>
      <c r="D141" s="389">
        <f t="shared" si="34"/>
        <v>16.546692959379577</v>
      </c>
      <c r="E141" s="115">
        <f t="shared" si="32"/>
        <v>1.269135775441826</v>
      </c>
      <c r="F141" s="372">
        <f t="shared" si="35"/>
        <v>17.883124832586304</v>
      </c>
      <c r="G141" s="114">
        <f t="shared" si="33"/>
        <v>0.39740277405747343</v>
      </c>
      <c r="H141" s="365" t="str">
        <f t="shared" si="30"/>
        <v>Infinito</v>
      </c>
      <c r="I141" s="363">
        <f t="shared" si="36"/>
        <v>0</v>
      </c>
    </row>
    <row r="142" spans="2:9" ht="12.75">
      <c r="B142" s="165">
        <v>20000</v>
      </c>
      <c r="C142" s="166">
        <f t="shared" si="31"/>
        <v>665.1138499364689</v>
      </c>
      <c r="D142" s="389">
        <f t="shared" si="34"/>
        <v>17.101291718895002</v>
      </c>
      <c r="E142" s="115">
        <f t="shared" si="32"/>
        <v>1.2279774151093723</v>
      </c>
      <c r="F142" s="372">
        <f t="shared" si="35"/>
        <v>18.736013554409645</v>
      </c>
      <c r="G142" s="114">
        <f t="shared" si="33"/>
        <v>0.4163558567646588</v>
      </c>
      <c r="H142" s="365" t="str">
        <f t="shared" si="30"/>
        <v>Infinito</v>
      </c>
      <c r="I142" s="363">
        <f t="shared" si="36"/>
        <v>0</v>
      </c>
    </row>
    <row r="143" spans="2:9" ht="12.75">
      <c r="B143" s="165">
        <v>21000</v>
      </c>
      <c r="C143" s="166">
        <f t="shared" si="31"/>
        <v>0</v>
      </c>
      <c r="D143" s="389">
        <f t="shared" si="34"/>
        <v>17.64606658181961</v>
      </c>
      <c r="E143" s="115">
        <f t="shared" si="32"/>
        <v>1.1900669139283357</v>
      </c>
      <c r="F143" s="372">
        <f t="shared" si="35"/>
        <v>19.584999290863365</v>
      </c>
      <c r="G143" s="114">
        <f t="shared" si="33"/>
        <v>0.43522220646363036</v>
      </c>
      <c r="H143" s="365" t="str">
        <f t="shared" si="30"/>
        <v>Infinito</v>
      </c>
      <c r="I143" s="363">
        <f t="shared" si="36"/>
        <v>0</v>
      </c>
    </row>
    <row r="144" spans="2:9" ht="12.75">
      <c r="B144" s="165">
        <v>22000</v>
      </c>
      <c r="C144" s="166">
        <f t="shared" si="31"/>
        <v>368.32536542984354</v>
      </c>
      <c r="D144" s="389">
        <f aca="true" t="shared" si="37" ref="D144:D150">0.029419*B144^0.64273</f>
        <v>18.181647598769544</v>
      </c>
      <c r="E144" s="115">
        <f t="shared" si="32"/>
        <v>1.1550108363898324</v>
      </c>
      <c r="F144" s="372">
        <f t="shared" si="35"/>
        <v>20.43028465472778</v>
      </c>
      <c r="G144" s="114">
        <f t="shared" si="33"/>
        <v>0.4540063256606174</v>
      </c>
      <c r="H144" s="365" t="str">
        <f t="shared" si="30"/>
        <v>Infinito</v>
      </c>
      <c r="I144" s="363">
        <f aca="true" t="shared" si="38" ref="I144:I150">IF(G144&lt;0.5,0,C144/H144)</f>
        <v>0</v>
      </c>
    </row>
    <row r="145" spans="2:9" ht="12.75">
      <c r="B145" s="165">
        <v>23000</v>
      </c>
      <c r="C145" s="166">
        <f t="shared" si="31"/>
        <v>137.60976205582114</v>
      </c>
      <c r="D145" s="389">
        <f t="shared" si="37"/>
        <v>18.70859778873451</v>
      </c>
      <c r="E145" s="115">
        <f t="shared" si="32"/>
        <v>1.1224785650501967</v>
      </c>
      <c r="F145" s="372">
        <f t="shared" si="35"/>
        <v>21.27205301454524</v>
      </c>
      <c r="G145" s="114">
        <f t="shared" si="33"/>
        <v>0.47271228921211644</v>
      </c>
      <c r="H145" s="365" t="str">
        <f t="shared" si="30"/>
        <v>Infinito</v>
      </c>
      <c r="I145" s="363">
        <f t="shared" si="38"/>
        <v>0</v>
      </c>
    </row>
    <row r="146" spans="2:9" ht="12.75">
      <c r="B146" s="165">
        <v>24000</v>
      </c>
      <c r="C146" s="166">
        <f t="shared" si="31"/>
        <v>0</v>
      </c>
      <c r="D146" s="389">
        <f t="shared" si="37"/>
        <v>19.22742285983722</v>
      </c>
      <c r="E146" s="115">
        <f t="shared" si="32"/>
        <v>1.09219005339844</v>
      </c>
      <c r="F146" s="372">
        <f t="shared" si="35"/>
        <v>22.110471079719446</v>
      </c>
      <c r="G146" s="114">
        <f t="shared" si="33"/>
        <v>0.49134380177154324</v>
      </c>
      <c r="H146" s="365" t="str">
        <f t="shared" si="30"/>
        <v>Infinito</v>
      </c>
      <c r="I146" s="363">
        <f t="shared" si="38"/>
        <v>0</v>
      </c>
    </row>
    <row r="147" spans="2:9" ht="12.75">
      <c r="B147" s="165">
        <v>25000</v>
      </c>
      <c r="C147" s="166">
        <f t="shared" si="31"/>
        <v>0</v>
      </c>
      <c r="D147" s="389">
        <f t="shared" si="37"/>
        <v>19.73857917586874</v>
      </c>
      <c r="E147" s="115">
        <f t="shared" si="32"/>
        <v>1.063906363922759</v>
      </c>
      <c r="F147" s="372">
        <f t="shared" si="35"/>
        <v>22.945691045051223</v>
      </c>
      <c r="G147" s="114">
        <f t="shared" si="33"/>
        <v>0.5099042454455828</v>
      </c>
      <c r="H147" s="365">
        <f t="shared" si="30"/>
        <v>418.07</v>
      </c>
      <c r="I147" s="363">
        <f t="shared" si="38"/>
        <v>0</v>
      </c>
    </row>
    <row r="148" spans="2:9" ht="12.75">
      <c r="B148" s="165">
        <v>26000</v>
      </c>
      <c r="C148" s="166">
        <f t="shared" si="31"/>
        <v>0</v>
      </c>
      <c r="D148" s="389">
        <f t="shared" si="37"/>
        <v>20.242480342424745</v>
      </c>
      <c r="E148" s="115">
        <f t="shared" si="32"/>
        <v>1.0374222745810266</v>
      </c>
      <c r="F148" s="372">
        <f t="shared" si="35"/>
        <v>23.777852384429668</v>
      </c>
      <c r="G148" s="114">
        <f t="shared" si="33"/>
        <v>0.5283967196539926</v>
      </c>
      <c r="H148" s="365">
        <f t="shared" si="30"/>
        <v>248.807</v>
      </c>
      <c r="I148" s="363">
        <f t="shared" si="38"/>
        <v>0</v>
      </c>
    </row>
    <row r="149" spans="2:9" ht="12.75">
      <c r="B149" s="165">
        <v>27000</v>
      </c>
      <c r="C149" s="166">
        <f t="shared" si="31"/>
        <v>0</v>
      </c>
      <c r="D149" s="389">
        <f t="shared" si="37"/>
        <v>20.739502695534348</v>
      </c>
      <c r="E149" s="115">
        <f t="shared" si="32"/>
        <v>1.0125604412164493</v>
      </c>
      <c r="F149" s="372">
        <f t="shared" si="35"/>
        <v>24.60708336237544</v>
      </c>
      <c r="G149" s="114">
        <f t="shared" si="33"/>
        <v>0.5468240747194543</v>
      </c>
      <c r="H149" s="365">
        <f t="shared" si="30"/>
        <v>148.344</v>
      </c>
      <c r="I149" s="363">
        <f t="shared" si="38"/>
        <v>0</v>
      </c>
    </row>
    <row r="150" spans="2:9" ht="12.75">
      <c r="B150" s="165">
        <v>28000</v>
      </c>
      <c r="C150" s="166">
        <f t="shared" si="31"/>
        <v>0</v>
      </c>
      <c r="D150" s="389">
        <f t="shared" si="37"/>
        <v>21.229989909398963</v>
      </c>
      <c r="E150" s="115">
        <f t="shared" si="32"/>
        <v>0.989166744290484</v>
      </c>
      <c r="F150" s="372">
        <f t="shared" si="35"/>
        <v>25.433502316631003</v>
      </c>
      <c r="G150" s="114">
        <f t="shared" si="33"/>
        <v>0.5651889403695779</v>
      </c>
      <c r="H150" s="365">
        <f t="shared" si="30"/>
        <v>88.602</v>
      </c>
      <c r="I150" s="363">
        <f t="shared" si="38"/>
        <v>0</v>
      </c>
    </row>
    <row r="151" spans="2:9" ht="12.75">
      <c r="B151" s="165">
        <v>29000</v>
      </c>
      <c r="C151" s="166">
        <f t="shared" si="31"/>
        <v>0</v>
      </c>
      <c r="D151" s="389">
        <f t="shared" si="34"/>
        <v>21.714256890919042</v>
      </c>
      <c r="E151" s="115">
        <f t="shared" si="32"/>
        <v>0.9671065468872782</v>
      </c>
      <c r="F151" s="372">
        <f t="shared" si="35"/>
        <v>26.25721875342147</v>
      </c>
      <c r="G151" s="114">
        <f t="shared" si="33"/>
        <v>0.5834937500760327</v>
      </c>
      <c r="H151" s="365">
        <f t="shared" si="30"/>
        <v>53.008</v>
      </c>
      <c r="I151" s="363">
        <f t="shared" si="36"/>
        <v>0</v>
      </c>
    </row>
    <row r="152" spans="2:9" ht="12.75">
      <c r="B152" s="168">
        <v>30000</v>
      </c>
      <c r="C152" s="169">
        <f t="shared" si="31"/>
        <v>0</v>
      </c>
      <c r="D152" s="390">
        <f t="shared" si="34"/>
        <v>22.19259309210404</v>
      </c>
      <c r="E152" s="120">
        <f t="shared" si="32"/>
        <v>0.9462616609445087</v>
      </c>
      <c r="F152" s="373">
        <f t="shared" si="35"/>
        <v>27.078334288265726</v>
      </c>
      <c r="G152" s="236">
        <f t="shared" si="33"/>
        <v>0.6017407619614605</v>
      </c>
      <c r="H152" s="366">
        <f t="shared" si="30"/>
        <v>31.765</v>
      </c>
      <c r="I152" s="364">
        <f>IF(G152&lt;0.5,0,C152/H152)</f>
        <v>0</v>
      </c>
    </row>
    <row r="153" spans="2:9" ht="12.75">
      <c r="B153" s="222" t="s">
        <v>200</v>
      </c>
      <c r="C153" s="224"/>
      <c r="D153" s="369"/>
      <c r="E153" s="377"/>
      <c r="F153" s="369"/>
      <c r="G153" s="223"/>
      <c r="H153" s="347"/>
      <c r="I153" s="343"/>
    </row>
    <row r="154" spans="2:9" ht="12.75">
      <c r="B154" s="165">
        <v>24000</v>
      </c>
      <c r="C154" s="166">
        <f>VLOOKUP(B154,$B$50:$I$83,8)</f>
        <v>153.03148655212829</v>
      </c>
      <c r="D154" s="384"/>
      <c r="E154" s="378"/>
      <c r="F154" s="374">
        <v>15</v>
      </c>
      <c r="G154" s="292">
        <f>F154/$O$89</f>
        <v>0.3333333333333333</v>
      </c>
      <c r="H154" s="365" t="str">
        <f>IF(G154&lt;0.5,"Infinito",ROUND(6.8539*10^11*EXP(-28.0638*G154),0)/1000)</f>
        <v>Infinito</v>
      </c>
      <c r="I154" s="363">
        <f>IF(G154&lt;0.5,0,C154/H154)</f>
        <v>0</v>
      </c>
    </row>
    <row r="155" spans="2:9" ht="12.75">
      <c r="B155" s="168">
        <v>32000</v>
      </c>
      <c r="C155" s="169">
        <f>VLOOKUP(B155,$B$50:$I$83,8)</f>
        <v>0</v>
      </c>
      <c r="D155" s="385"/>
      <c r="E155" s="379"/>
      <c r="F155" s="375">
        <v>20</v>
      </c>
      <c r="G155" s="293">
        <f>F155/$O$89</f>
        <v>0.4444444444444444</v>
      </c>
      <c r="H155" s="366" t="str">
        <f>IF(G155&lt;0.5,"Infinito",ROUND(6.8539*10^11*EXP(-28.0638*G155),0)/1000)</f>
        <v>Infinito</v>
      </c>
      <c r="I155" s="364">
        <f>IF(G155&lt;0.5,0,C155/H155)</f>
        <v>0</v>
      </c>
    </row>
    <row r="156" ht="12.75">
      <c r="I156" s="294">
        <f>SUM(I131:I155)</f>
        <v>0</v>
      </c>
    </row>
    <row r="157" spans="2:15" ht="12.75">
      <c r="B157" s="233" t="s">
        <v>84</v>
      </c>
      <c r="C157" s="210"/>
      <c r="K157" s="248"/>
      <c r="O157" s="248"/>
    </row>
    <row r="158" spans="2:11" ht="12.75">
      <c r="B158" s="482" t="s">
        <v>80</v>
      </c>
      <c r="C158" s="483"/>
      <c r="D158" s="484"/>
      <c r="E158" s="357" t="s">
        <v>98</v>
      </c>
      <c r="F158" s="186" t="s">
        <v>174</v>
      </c>
      <c r="G158" s="65" t="s">
        <v>170</v>
      </c>
      <c r="H158" s="186" t="s">
        <v>175</v>
      </c>
      <c r="I158" s="64" t="s">
        <v>176</v>
      </c>
      <c r="J158" s="65" t="s">
        <v>177</v>
      </c>
      <c r="K158" s="62" t="s">
        <v>198</v>
      </c>
    </row>
    <row r="159" spans="2:11" ht="12.75">
      <c r="B159" s="316">
        <v>7</v>
      </c>
      <c r="C159" s="485" t="str">
        <f>VLOOKUP(B159,$L$26:$P$32,2)</f>
        <v>Hormigón</v>
      </c>
      <c r="D159" s="486"/>
      <c r="E159" s="358">
        <f>O137</f>
        <v>21</v>
      </c>
      <c r="F159" s="332">
        <f>VLOOKUP(B159,$L$26:$P$32,4)</f>
        <v>380</v>
      </c>
      <c r="G159" s="339">
        <f>F159*E159/100</f>
        <v>79.8</v>
      </c>
      <c r="H159" s="335">
        <f>G159*$O$33*1000</f>
        <v>574560</v>
      </c>
      <c r="I159" s="231"/>
      <c r="J159" s="347">
        <f>H159+I159</f>
        <v>574560</v>
      </c>
      <c r="K159" s="343"/>
    </row>
    <row r="160" spans="2:11" ht="12.75">
      <c r="B160" s="309">
        <v>2</v>
      </c>
      <c r="C160" s="487" t="str">
        <f>VLOOKUP(B160,$L$26:$P$32,2)</f>
        <v>CBR 40%</v>
      </c>
      <c r="D160" s="488"/>
      <c r="E160" s="359">
        <f>M129</f>
        <v>30</v>
      </c>
      <c r="F160" s="333">
        <f>VLOOKUP(B160,$L$26:$P$32,4)</f>
        <v>22</v>
      </c>
      <c r="G160" s="340">
        <f>F160*E160/100</f>
        <v>6.6</v>
      </c>
      <c r="H160" s="336">
        <f>G160*$O$33*1000</f>
        <v>47519.99999999999</v>
      </c>
      <c r="I160" s="220">
        <f>($O$34+(E159+E160/2)*3/100)*E160/100*2*F160*1000</f>
        <v>45936</v>
      </c>
      <c r="J160" s="166">
        <f>H160+I160</f>
        <v>93456</v>
      </c>
      <c r="K160" s="354" t="s">
        <v>194</v>
      </c>
    </row>
    <row r="161" spans="2:11" ht="12.75">
      <c r="B161" s="309">
        <v>6</v>
      </c>
      <c r="C161" s="487" t="str">
        <f>VLOOKUP(B161,$L$26:$P$32,2)</f>
        <v>Mezcla asfáltica</v>
      </c>
      <c r="D161" s="488"/>
      <c r="E161" s="359"/>
      <c r="F161" s="333">
        <f>VLOOKUP(B161,$L$26:$P$32,4)</f>
        <v>95</v>
      </c>
      <c r="G161" s="340">
        <f>F161*E161/100*$H$47</f>
        <v>0</v>
      </c>
      <c r="H161" s="336">
        <f>G161*$H$44*1000</f>
        <v>0</v>
      </c>
      <c r="I161" s="220">
        <f>$O$34*$O$35/100*$O$36*2*F161*1000</f>
        <v>54720</v>
      </c>
      <c r="J161" s="166">
        <f>H161+I161</f>
        <v>54720</v>
      </c>
      <c r="K161" s="344" t="s">
        <v>194</v>
      </c>
    </row>
    <row r="162" spans="2:11" ht="12.75">
      <c r="B162" s="309">
        <v>3</v>
      </c>
      <c r="C162" s="487" t="str">
        <f>VLOOKUP(B162,$L$26:$P$32,2)</f>
        <v>CBR 80%</v>
      </c>
      <c r="D162" s="488"/>
      <c r="E162" s="359">
        <f>M131</f>
        <v>0</v>
      </c>
      <c r="F162" s="333">
        <f>VLOOKUP(B162,$L$26:$P$32,4)</f>
        <v>26</v>
      </c>
      <c r="G162" s="340">
        <f>F162*E162/100</f>
        <v>0</v>
      </c>
      <c r="H162" s="336">
        <f>G162*$O$33*1000</f>
        <v>0</v>
      </c>
      <c r="I162" s="220">
        <f>($O$34+($O$35+(E159-$O$35)/2)*3/100)*(E159-$O$35)/100*2*F162*1000</f>
        <v>23212.800000000003</v>
      </c>
      <c r="J162" s="166">
        <f>H162+I162</f>
        <v>23212.800000000003</v>
      </c>
      <c r="K162" s="344" t="s">
        <v>197</v>
      </c>
    </row>
    <row r="163" spans="2:11" ht="12.75">
      <c r="B163" s="353">
        <v>8</v>
      </c>
      <c r="C163" s="480" t="s">
        <v>165</v>
      </c>
      <c r="D163" s="481"/>
      <c r="E163" s="360"/>
      <c r="F163" s="356">
        <f>VLOOKUP(B163,$L$26:$P$32,4)</f>
        <v>1.6</v>
      </c>
      <c r="G163" s="341">
        <f>$H$42+MIN(INT(E161/8.1),INT(E161/5.1))*$H$43</f>
        <v>0</v>
      </c>
      <c r="H163" s="337">
        <f>G163*$H$44*1000</f>
        <v>0</v>
      </c>
      <c r="I163" s="221">
        <f>F163*$O$34*2*1000</f>
        <v>7680</v>
      </c>
      <c r="J163" s="169">
        <f>H163+I163</f>
        <v>7680</v>
      </c>
      <c r="K163" s="355" t="s">
        <v>194</v>
      </c>
    </row>
    <row r="164" spans="2:11" ht="12.75">
      <c r="B164" s="349"/>
      <c r="C164" s="350"/>
      <c r="D164" s="351"/>
      <c r="E164" s="361"/>
      <c r="F164" s="334" t="s">
        <v>101</v>
      </c>
      <c r="G164" s="342">
        <f>SUM(G159:G163)</f>
        <v>86.39999999999999</v>
      </c>
      <c r="H164" s="338">
        <f>SUM(H159:H163)</f>
        <v>622080</v>
      </c>
      <c r="I164" s="321">
        <f>SUM(I159:I163)</f>
        <v>131548.8</v>
      </c>
      <c r="J164" s="348">
        <f>SUM(J159:J163)</f>
        <v>753628.8</v>
      </c>
      <c r="K164" s="346"/>
    </row>
    <row r="165" spans="6:10" ht="12.75">
      <c r="F165" s="256"/>
      <c r="G165" s="256"/>
      <c r="H165" s="258">
        <f>H164/J164</f>
        <v>0.8254461612931989</v>
      </c>
      <c r="I165" s="258">
        <f>I164/J164</f>
        <v>0.174553838706801</v>
      </c>
      <c r="J165" s="257"/>
    </row>
  </sheetData>
  <sheetProtection/>
  <mergeCells count="78">
    <mergeCell ref="C160:D160"/>
    <mergeCell ref="C161:D161"/>
    <mergeCell ref="C122:D122"/>
    <mergeCell ref="C162:D162"/>
    <mergeCell ref="C163:D163"/>
    <mergeCell ref="M36:N36"/>
    <mergeCell ref="C121:D121"/>
    <mergeCell ref="C159:D159"/>
    <mergeCell ref="B158:D158"/>
    <mergeCell ref="C118:D118"/>
    <mergeCell ref="O34:P34"/>
    <mergeCell ref="O35:P35"/>
    <mergeCell ref="O36:P36"/>
    <mergeCell ref="I48:K48"/>
    <mergeCell ref="C48:E48"/>
    <mergeCell ref="B117:D117"/>
    <mergeCell ref="C119:D119"/>
    <mergeCell ref="C120:D120"/>
    <mergeCell ref="O31:P31"/>
    <mergeCell ref="M32:N32"/>
    <mergeCell ref="M33:N33"/>
    <mergeCell ref="M34:N34"/>
    <mergeCell ref="M35:N35"/>
    <mergeCell ref="F48:H48"/>
    <mergeCell ref="M31:N31"/>
    <mergeCell ref="O89:P89"/>
    <mergeCell ref="M29:N29"/>
    <mergeCell ref="O29:P29"/>
    <mergeCell ref="O33:P33"/>
    <mergeCell ref="O27:P27"/>
    <mergeCell ref="M28:N28"/>
    <mergeCell ref="O28:P28"/>
    <mergeCell ref="M27:N27"/>
    <mergeCell ref="O32:P32"/>
    <mergeCell ref="O30:P30"/>
    <mergeCell ref="M30:N30"/>
    <mergeCell ref="O25:P25"/>
    <mergeCell ref="M26:N26"/>
    <mergeCell ref="O26:P26"/>
    <mergeCell ref="H7:I7"/>
    <mergeCell ref="M25:N25"/>
    <mergeCell ref="C7:G7"/>
    <mergeCell ref="J7:J8"/>
    <mergeCell ref="O137:P137"/>
    <mergeCell ref="O133:P133"/>
    <mergeCell ref="O87:P87"/>
    <mergeCell ref="O90:P90"/>
    <mergeCell ref="O128:P128"/>
    <mergeCell ref="O96:P96"/>
    <mergeCell ref="O88:P88"/>
    <mergeCell ref="O92:P92"/>
    <mergeCell ref="O129:P129"/>
    <mergeCell ref="O130:P130"/>
    <mergeCell ref="AH117:AJ117"/>
    <mergeCell ref="O131:P131"/>
    <mergeCell ref="AE87:AF87"/>
    <mergeCell ref="AE88:AF88"/>
    <mergeCell ref="AE89:AF89"/>
    <mergeCell ref="AE90:AF90"/>
    <mergeCell ref="AE92:AF92"/>
    <mergeCell ref="AE96:AF96"/>
    <mergeCell ref="R117:T117"/>
    <mergeCell ref="S118:T118"/>
    <mergeCell ref="AU87:AV87"/>
    <mergeCell ref="AU88:AV88"/>
    <mergeCell ref="AU89:AV89"/>
    <mergeCell ref="AU90:AV90"/>
    <mergeCell ref="AU92:AV92"/>
    <mergeCell ref="AU96:AV96"/>
    <mergeCell ref="AI118:AJ118"/>
    <mergeCell ref="AI119:AJ119"/>
    <mergeCell ref="AI120:AJ120"/>
    <mergeCell ref="AI121:AJ121"/>
    <mergeCell ref="AI122:AJ122"/>
    <mergeCell ref="S120:T120"/>
    <mergeCell ref="S121:T121"/>
    <mergeCell ref="S122:T122"/>
    <mergeCell ref="S119:T119"/>
  </mergeCells>
  <printOptions horizontalCentered="1" verticalCentered="1"/>
  <pageMargins left="0.7874015748031497" right="0.7874015748031497" top="0.5905511811023623" bottom="0.3937007874015748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Zeros="0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2" width="8.140625" style="16" customWidth="1"/>
    <col min="3" max="3" width="23.7109375" style="16" customWidth="1"/>
    <col min="4" max="4" width="13.7109375" style="16" customWidth="1"/>
    <col min="5" max="25" width="6.7109375" style="16" customWidth="1"/>
    <col min="26" max="16384" width="11.421875" style="16" customWidth="1"/>
  </cols>
  <sheetData>
    <row r="1" spans="1:25" ht="15.75">
      <c r="A1" s="529" t="s">
        <v>48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</row>
    <row r="2" spans="1:25" ht="12.7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105" t="s">
        <v>181</v>
      </c>
      <c r="Y2" s="149">
        <f>'Pav Flex'!O2</f>
        <v>0.05</v>
      </c>
    </row>
    <row r="3" spans="1:25" ht="12.75">
      <c r="A3" s="59" t="str">
        <f>'Carga Flex'!A3</f>
        <v>Ruta X, progresiva 205K000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5" t="s">
        <v>180</v>
      </c>
      <c r="Y3" s="149">
        <f>'Pav Flex'!O3</f>
        <v>0.04</v>
      </c>
    </row>
    <row r="4" spans="1:25" ht="12.75">
      <c r="A4" s="59" t="str">
        <f>'Carga Flex'!A4</f>
        <v>Sentido: hacia el Norte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05" t="s">
        <v>71</v>
      </c>
      <c r="Y4" s="150">
        <f>'Pav Flex'!O4</f>
        <v>2012</v>
      </c>
    </row>
    <row r="5" spans="1:25" ht="12.75">
      <c r="A5" s="59" t="s">
        <v>72</v>
      </c>
      <c r="B5" s="59">
        <f>'Carga Flex'!B5</f>
        <v>2006</v>
      </c>
      <c r="C5" s="5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05" t="s">
        <v>179</v>
      </c>
      <c r="Y5" s="150">
        <f>'Pav Ríg'!J4</f>
        <v>40</v>
      </c>
    </row>
    <row r="6" spans="24:25" ht="12.75">
      <c r="X6" s="247" t="s">
        <v>182</v>
      </c>
      <c r="Y6" s="291">
        <f>'Pav Ríg'!J5</f>
        <v>1.2</v>
      </c>
    </row>
    <row r="7" spans="1:25" ht="12.75">
      <c r="A7" s="533" t="s">
        <v>0</v>
      </c>
      <c r="B7" s="545"/>
      <c r="C7" s="546"/>
      <c r="D7" s="533" t="s">
        <v>3</v>
      </c>
      <c r="E7" s="534"/>
      <c r="F7" s="512"/>
      <c r="G7" s="523" t="s">
        <v>7</v>
      </c>
      <c r="H7" s="524"/>
      <c r="I7" s="524"/>
      <c r="J7" s="524"/>
      <c r="K7" s="524"/>
      <c r="L7" s="524"/>
      <c r="M7" s="525"/>
      <c r="N7" s="536" t="s">
        <v>7</v>
      </c>
      <c r="O7" s="537"/>
      <c r="P7" s="537"/>
      <c r="Q7" s="537"/>
      <c r="R7" s="537"/>
      <c r="S7" s="537"/>
      <c r="T7" s="537"/>
      <c r="U7" s="538"/>
      <c r="V7" s="533" t="s">
        <v>199</v>
      </c>
      <c r="W7" s="545"/>
      <c r="X7" s="545"/>
      <c r="Y7" s="546"/>
    </row>
    <row r="8" spans="1:25" ht="12.75">
      <c r="A8" s="547"/>
      <c r="B8" s="548"/>
      <c r="C8" s="549"/>
      <c r="D8" s="515"/>
      <c r="E8" s="535"/>
      <c r="F8" s="516"/>
      <c r="G8" s="526" t="s">
        <v>8</v>
      </c>
      <c r="H8" s="527"/>
      <c r="I8" s="527"/>
      <c r="J8" s="527"/>
      <c r="K8" s="527"/>
      <c r="L8" s="527"/>
      <c r="M8" s="528"/>
      <c r="N8" s="530" t="s">
        <v>106</v>
      </c>
      <c r="O8" s="531"/>
      <c r="P8" s="531"/>
      <c r="Q8" s="531"/>
      <c r="R8" s="531"/>
      <c r="S8" s="531"/>
      <c r="T8" s="531"/>
      <c r="U8" s="532"/>
      <c r="V8" s="547"/>
      <c r="W8" s="548"/>
      <c r="X8" s="548"/>
      <c r="Y8" s="549"/>
    </row>
    <row r="9" spans="1:25" ht="12.75">
      <c r="A9" s="17" t="s">
        <v>1</v>
      </c>
      <c r="B9" s="17" t="s">
        <v>2</v>
      </c>
      <c r="C9" s="17" t="s">
        <v>161</v>
      </c>
      <c r="D9" s="17" t="s">
        <v>4</v>
      </c>
      <c r="E9" s="18" t="s">
        <v>5</v>
      </c>
      <c r="F9" s="20" t="s">
        <v>6</v>
      </c>
      <c r="G9" s="18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  <c r="M9" s="260" t="s">
        <v>15</v>
      </c>
      <c r="N9" s="63" t="s">
        <v>58</v>
      </c>
      <c r="O9" s="64" t="s">
        <v>59</v>
      </c>
      <c r="P9" s="64" t="s">
        <v>60</v>
      </c>
      <c r="Q9" s="64" t="s">
        <v>61</v>
      </c>
      <c r="R9" s="268" t="s">
        <v>62</v>
      </c>
      <c r="S9" s="63" t="s">
        <v>16</v>
      </c>
      <c r="T9" s="65" t="s">
        <v>17</v>
      </c>
      <c r="U9" s="62" t="s">
        <v>18</v>
      </c>
      <c r="V9" s="63" t="s">
        <v>108</v>
      </c>
      <c r="W9" s="186" t="s">
        <v>107</v>
      </c>
      <c r="X9" s="19" t="s">
        <v>5</v>
      </c>
      <c r="Y9" s="20" t="s">
        <v>6</v>
      </c>
    </row>
    <row r="10" spans="1:25" ht="12.75">
      <c r="A10" s="520">
        <v>6</v>
      </c>
      <c r="B10" s="520" t="s">
        <v>21</v>
      </c>
      <c r="C10" s="520"/>
      <c r="D10" s="22" t="s">
        <v>22</v>
      </c>
      <c r="E10" s="23">
        <f>'Carga Flex'!E10</f>
        <v>0</v>
      </c>
      <c r="F10" s="24">
        <f>IF(E10=0,0,E10/SUM(E10:E13))</f>
        <v>0</v>
      </c>
      <c r="G10" s="23">
        <f>SUM(H10:M10)</f>
        <v>0</v>
      </c>
      <c r="H10" s="25">
        <f>'Carga Flex'!H10</f>
        <v>0</v>
      </c>
      <c r="I10" s="25">
        <f>'Carga Flex'!I10</f>
        <v>0</v>
      </c>
      <c r="J10" s="25">
        <f>'Carga Flex'!J10</f>
        <v>0</v>
      </c>
      <c r="K10" s="25">
        <f>'Carga Flex'!K10</f>
        <v>0</v>
      </c>
      <c r="L10" s="25">
        <f>'Carga Flex'!L10</f>
        <v>0</v>
      </c>
      <c r="M10" s="261">
        <f>'Carga Flex'!M10</f>
        <v>0</v>
      </c>
      <c r="N10" s="23">
        <f aca="true" t="shared" si="0" ref="N10:O13">ROUND(H10*$Y$6/1000,0)*1000</f>
        <v>0</v>
      </c>
      <c r="O10" s="25">
        <f t="shared" si="0"/>
        <v>0</v>
      </c>
      <c r="P10" s="25"/>
      <c r="Q10" s="25"/>
      <c r="R10" s="269"/>
      <c r="S10" s="162"/>
      <c r="T10" s="163"/>
      <c r="U10" s="164"/>
      <c r="V10" s="550">
        <f>'Pav Flex'!E10</f>
        <v>7</v>
      </c>
      <c r="W10" s="539">
        <f>$Y$2</f>
        <v>0.05</v>
      </c>
      <c r="X10" s="25">
        <f>V10*365*(1+W10)^($Y$4-$B$5)*((1+W10)^$Y$5-1)/W10*F10/1000</f>
        <v>0</v>
      </c>
      <c r="Y10" s="24">
        <f>IF(X10=0,0,X10/SUM(X10:X13))</f>
        <v>0</v>
      </c>
    </row>
    <row r="11" spans="1:25" ht="12.75">
      <c r="A11" s="521"/>
      <c r="B11" s="521"/>
      <c r="C11" s="521"/>
      <c r="D11" s="28" t="s">
        <v>23</v>
      </c>
      <c r="E11" s="29">
        <f>'Carga Flex'!E11</f>
        <v>91</v>
      </c>
      <c r="F11" s="30">
        <f>IF(E11=0,0,E11/SUM(E10:E13))</f>
        <v>0.22921914357682618</v>
      </c>
      <c r="G11" s="29">
        <f aca="true" t="shared" si="1" ref="G11:G74">SUM(H11:M11)</f>
        <v>11623</v>
      </c>
      <c r="H11" s="31">
        <f>'Carga Flex'!H11</f>
        <v>4691</v>
      </c>
      <c r="I11" s="31">
        <f>'Carga Flex'!I11</f>
        <v>6932</v>
      </c>
      <c r="J11" s="31">
        <f>'Carga Flex'!J11</f>
        <v>0</v>
      </c>
      <c r="K11" s="31">
        <f>'Carga Flex'!K11</f>
        <v>0</v>
      </c>
      <c r="L11" s="31">
        <f>'Carga Flex'!L11</f>
        <v>0</v>
      </c>
      <c r="M11" s="262">
        <f>'Carga Flex'!M11</f>
        <v>0</v>
      </c>
      <c r="N11" s="29">
        <f t="shared" si="0"/>
        <v>6000</v>
      </c>
      <c r="O11" s="31">
        <f t="shared" si="0"/>
        <v>8000</v>
      </c>
      <c r="P11" s="31"/>
      <c r="Q11" s="31"/>
      <c r="R11" s="270"/>
      <c r="S11" s="165"/>
      <c r="T11" s="166"/>
      <c r="U11" s="167"/>
      <c r="V11" s="551"/>
      <c r="W11" s="540"/>
      <c r="X11" s="31">
        <f>V10*365*(1+W10)^($Y$4-$B$5)*((1+W10)^$Y$5-1)/W10*F11/1000</f>
        <v>94.80772100523085</v>
      </c>
      <c r="Y11" s="30">
        <f>IF(X11=0,0,X11/SUM(X10:X13))</f>
        <v>0.22921914357682616</v>
      </c>
    </row>
    <row r="12" spans="1:25" ht="12.75">
      <c r="A12" s="521"/>
      <c r="B12" s="521"/>
      <c r="C12" s="521"/>
      <c r="D12" s="28" t="s">
        <v>24</v>
      </c>
      <c r="E12" s="29">
        <f>'Carga Flex'!E12</f>
        <v>261</v>
      </c>
      <c r="F12" s="30">
        <f>IF(E12=0,0,E12/SUM(E10:E13))</f>
        <v>0.6574307304785895</v>
      </c>
      <c r="G12" s="29">
        <f t="shared" si="1"/>
        <v>14800</v>
      </c>
      <c r="H12" s="31">
        <f>'Carga Flex'!H12</f>
        <v>6172</v>
      </c>
      <c r="I12" s="31">
        <f>'Carga Flex'!I12</f>
        <v>8628</v>
      </c>
      <c r="J12" s="31">
        <f>'Carga Flex'!J12</f>
        <v>0</v>
      </c>
      <c r="K12" s="31">
        <f>'Carga Flex'!K12</f>
        <v>0</v>
      </c>
      <c r="L12" s="31">
        <f>'Carga Flex'!L12</f>
        <v>0</v>
      </c>
      <c r="M12" s="262">
        <f>'Carga Flex'!M12</f>
        <v>0</v>
      </c>
      <c r="N12" s="29">
        <f t="shared" si="0"/>
        <v>7000</v>
      </c>
      <c r="O12" s="31">
        <f t="shared" si="0"/>
        <v>10000</v>
      </c>
      <c r="P12" s="31"/>
      <c r="Q12" s="31"/>
      <c r="R12" s="270"/>
      <c r="S12" s="165"/>
      <c r="T12" s="166"/>
      <c r="U12" s="167"/>
      <c r="V12" s="551"/>
      <c r="W12" s="540"/>
      <c r="X12" s="31">
        <f>V10*365*(1+W10)^($Y$4-$B$5)*((1+W10)^$Y$5-1)/W10*F12/1000</f>
        <v>271.92104596005777</v>
      </c>
      <c r="Y12" s="30">
        <f>IF(X12=0,0,X12/SUM(X10:X13))</f>
        <v>0.6574307304785895</v>
      </c>
    </row>
    <row r="13" spans="1:25" ht="12.75">
      <c r="A13" s="522"/>
      <c r="B13" s="522"/>
      <c r="C13" s="522"/>
      <c r="D13" s="34" t="s">
        <v>25</v>
      </c>
      <c r="E13" s="35">
        <f>'Carga Flex'!E13</f>
        <v>45</v>
      </c>
      <c r="F13" s="36">
        <f>IF(E13=0,0,E13/SUM(E10:E13))</f>
        <v>0.11335012594458438</v>
      </c>
      <c r="G13" s="35">
        <f t="shared" si="1"/>
        <v>17509</v>
      </c>
      <c r="H13" s="37">
        <f>'Carga Flex'!H13</f>
        <v>7191</v>
      </c>
      <c r="I13" s="37">
        <f>'Carga Flex'!I13</f>
        <v>10318</v>
      </c>
      <c r="J13" s="37">
        <f>'Carga Flex'!J13</f>
        <v>0</v>
      </c>
      <c r="K13" s="37">
        <f>'Carga Flex'!K13</f>
        <v>0</v>
      </c>
      <c r="L13" s="37">
        <f>'Carga Flex'!L13</f>
        <v>0</v>
      </c>
      <c r="M13" s="263">
        <f>'Carga Flex'!M13</f>
        <v>0</v>
      </c>
      <c r="N13" s="35">
        <f t="shared" si="0"/>
        <v>9000</v>
      </c>
      <c r="O13" s="37">
        <f t="shared" si="0"/>
        <v>12000</v>
      </c>
      <c r="P13" s="37"/>
      <c r="Q13" s="37"/>
      <c r="R13" s="271"/>
      <c r="S13" s="168"/>
      <c r="T13" s="169"/>
      <c r="U13" s="170"/>
      <c r="V13" s="552"/>
      <c r="W13" s="541"/>
      <c r="X13" s="37">
        <f>V10*365*(1+W10)^($Y$4-$B$5)*((1+W10)^$Y$5-1)/W10*F13/1000</f>
        <v>46.88293895863064</v>
      </c>
      <c r="Y13" s="36">
        <f>IF(X13=0,0,X13/SUM(X10:X13))</f>
        <v>0.11335012594458437</v>
      </c>
    </row>
    <row r="14" spans="1:25" ht="12.75">
      <c r="A14" s="517">
        <v>7</v>
      </c>
      <c r="B14" s="517" t="s">
        <v>26</v>
      </c>
      <c r="C14" s="517"/>
      <c r="D14" s="1" t="s">
        <v>22</v>
      </c>
      <c r="E14" s="4">
        <f>'Carga Flex'!E14</f>
        <v>4</v>
      </c>
      <c r="F14" s="13">
        <f>IF(E14=0,0,E14/SUM(E14:E17))</f>
        <v>0.0008394543546694648</v>
      </c>
      <c r="G14" s="4">
        <f t="shared" si="1"/>
        <v>7750</v>
      </c>
      <c r="H14" s="7">
        <f>'Carga Flex'!H14</f>
        <v>2550</v>
      </c>
      <c r="I14" s="7">
        <f>'Carga Flex'!I14</f>
        <v>3450</v>
      </c>
      <c r="J14" s="7">
        <f>'Carga Flex'!J14</f>
        <v>1750</v>
      </c>
      <c r="K14" s="7">
        <f>'Carga Flex'!K14</f>
        <v>0</v>
      </c>
      <c r="L14" s="7">
        <f>'Carga Flex'!L14</f>
        <v>0</v>
      </c>
      <c r="M14" s="264">
        <f>'Carga Flex'!M14</f>
        <v>0</v>
      </c>
      <c r="N14" s="4">
        <f>ROUND(H14*$Y$6/1000,0)*1000</f>
        <v>3000</v>
      </c>
      <c r="O14" s="7"/>
      <c r="P14" s="7"/>
      <c r="Q14" s="7"/>
      <c r="R14" s="264"/>
      <c r="S14" s="4">
        <f>ROUND((I14+J14)*$Y$6/1000,0)*1000</f>
        <v>6000</v>
      </c>
      <c r="T14" s="10"/>
      <c r="U14" s="171"/>
      <c r="V14" s="553">
        <f>'Pav Flex'!E11</f>
        <v>41</v>
      </c>
      <c r="W14" s="542">
        <f>$Y$2</f>
        <v>0.05</v>
      </c>
      <c r="X14" s="7">
        <f>V14*365*(1+W14)^($Y$4-$B$5)*((1+W14)^$Y$5-1)/W14*F14/1000</f>
        <v>2.0336477221263003</v>
      </c>
      <c r="Y14" s="13">
        <f>IF(X14=0,0,X14/SUM(X14:X17))</f>
        <v>0.0008394543546694647</v>
      </c>
    </row>
    <row r="15" spans="1:25" ht="12.75">
      <c r="A15" s="518"/>
      <c r="B15" s="518"/>
      <c r="C15" s="518"/>
      <c r="D15" s="2" t="s">
        <v>23</v>
      </c>
      <c r="E15" s="5">
        <f>'Carga Flex'!E15</f>
        <v>720</v>
      </c>
      <c r="F15" s="14">
        <f>IF(E15=0,0,E15/SUM(E14:E17))</f>
        <v>0.15110178384050368</v>
      </c>
      <c r="G15" s="5">
        <f t="shared" si="1"/>
        <v>14449</v>
      </c>
      <c r="H15" s="8">
        <f>'Carga Flex'!H15</f>
        <v>5027</v>
      </c>
      <c r="I15" s="8">
        <f>'Carga Flex'!I15</f>
        <v>5015</v>
      </c>
      <c r="J15" s="8">
        <f>'Carga Flex'!J15</f>
        <v>4407</v>
      </c>
      <c r="K15" s="8">
        <f>'Carga Flex'!K15</f>
        <v>0</v>
      </c>
      <c r="L15" s="8">
        <f>'Carga Flex'!L15</f>
        <v>0</v>
      </c>
      <c r="M15" s="265">
        <f>'Carga Flex'!M15</f>
        <v>0</v>
      </c>
      <c r="N15" s="5">
        <f>ROUND(H15*$Y$6/1000,0)*1000</f>
        <v>6000</v>
      </c>
      <c r="O15" s="8"/>
      <c r="P15" s="8"/>
      <c r="Q15" s="8"/>
      <c r="R15" s="265"/>
      <c r="S15" s="5">
        <f>ROUND((I15+J15)*$Y$6/1000,0)*1000</f>
        <v>11000</v>
      </c>
      <c r="T15" s="11"/>
      <c r="U15" s="172"/>
      <c r="V15" s="554"/>
      <c r="W15" s="543"/>
      <c r="X15" s="8">
        <f>V14*365*(1+W14)^($Y$4-$B$5)*((1+W14)^$Y$5-1)/W14*F15/1000</f>
        <v>366.0565899827341</v>
      </c>
      <c r="Y15" s="14">
        <f>IF(X15=0,0,X15/SUM(X14:X17))</f>
        <v>0.15110178384050368</v>
      </c>
    </row>
    <row r="16" spans="1:25" ht="12.75">
      <c r="A16" s="518"/>
      <c r="B16" s="518"/>
      <c r="C16" s="518"/>
      <c r="D16" s="2" t="s">
        <v>24</v>
      </c>
      <c r="E16" s="5">
        <f>'Carga Flex'!E16</f>
        <v>3453</v>
      </c>
      <c r="F16" s="14">
        <f>IF(E16=0,0,E16/SUM(E14:E17))</f>
        <v>0.7246589716684155</v>
      </c>
      <c r="G16" s="5">
        <f t="shared" si="1"/>
        <v>17988</v>
      </c>
      <c r="H16" s="8">
        <f>'Carga Flex'!H16</f>
        <v>6384</v>
      </c>
      <c r="I16" s="8">
        <f>'Carga Flex'!I16</f>
        <v>5729</v>
      </c>
      <c r="J16" s="8">
        <f>'Carga Flex'!J16</f>
        <v>5875</v>
      </c>
      <c r="K16" s="8">
        <f>'Carga Flex'!K16</f>
        <v>0</v>
      </c>
      <c r="L16" s="8">
        <f>'Carga Flex'!L16</f>
        <v>0</v>
      </c>
      <c r="M16" s="265">
        <f>'Carga Flex'!M16</f>
        <v>0</v>
      </c>
      <c r="N16" s="5">
        <f>ROUND(H16*$Y$6/1000,0)*1000</f>
        <v>8000</v>
      </c>
      <c r="O16" s="8"/>
      <c r="P16" s="8"/>
      <c r="Q16" s="8"/>
      <c r="R16" s="265"/>
      <c r="S16" s="5">
        <f>ROUND((I16+J16)*$Y$6/1000,0)*1000</f>
        <v>14000</v>
      </c>
      <c r="T16" s="11"/>
      <c r="U16" s="172"/>
      <c r="V16" s="554"/>
      <c r="W16" s="543"/>
      <c r="X16" s="8">
        <f>V14*365*(1+W14)^($Y$4-$B$5)*((1+W14)^$Y$5-1)/W14*F16/1000</f>
        <v>1755.5463961255286</v>
      </c>
      <c r="Y16" s="14">
        <f>IF(X16=0,0,X16/SUM(X14:X17))</f>
        <v>0.7246589716684154</v>
      </c>
    </row>
    <row r="17" spans="1:25" ht="12.75">
      <c r="A17" s="519"/>
      <c r="B17" s="519"/>
      <c r="C17" s="519"/>
      <c r="D17" s="3" t="s">
        <v>25</v>
      </c>
      <c r="E17" s="6">
        <f>'Carga Flex'!E17</f>
        <v>588</v>
      </c>
      <c r="F17" s="15">
        <f>IF(E17=0,0,E17/SUM(E14:E17))</f>
        <v>0.12339979013641134</v>
      </c>
      <c r="G17" s="6">
        <f t="shared" si="1"/>
        <v>20805</v>
      </c>
      <c r="H17" s="9">
        <f>'Carga Flex'!H17</f>
        <v>7454</v>
      </c>
      <c r="I17" s="9">
        <f>'Carga Flex'!I17</f>
        <v>6596</v>
      </c>
      <c r="J17" s="9">
        <f>'Carga Flex'!J17</f>
        <v>6755</v>
      </c>
      <c r="K17" s="9">
        <f>'Carga Flex'!K17</f>
        <v>0</v>
      </c>
      <c r="L17" s="9">
        <f>'Carga Flex'!L17</f>
        <v>0</v>
      </c>
      <c r="M17" s="266">
        <f>'Carga Flex'!M17</f>
        <v>0</v>
      </c>
      <c r="N17" s="6">
        <f>ROUND(H17*$Y$6/1000,0)*1000</f>
        <v>9000</v>
      </c>
      <c r="O17" s="9"/>
      <c r="P17" s="9"/>
      <c r="Q17" s="9"/>
      <c r="R17" s="266"/>
      <c r="S17" s="6">
        <f>ROUND((I17+J17)*$Y$6/1000,0)*1000</f>
        <v>16000</v>
      </c>
      <c r="T17" s="12"/>
      <c r="U17" s="173"/>
      <c r="V17" s="555"/>
      <c r="W17" s="544"/>
      <c r="X17" s="9">
        <f>V14*365*(1+W14)^($Y$4-$B$5)*((1+W14)^$Y$5-1)/W14*F17/1000</f>
        <v>298.94621515256614</v>
      </c>
      <c r="Y17" s="15">
        <f>IF(X17=0,0,X17/SUM(X14:X17))</f>
        <v>0.12339979013641132</v>
      </c>
    </row>
    <row r="18" spans="1:25" ht="12.75" hidden="1">
      <c r="A18" s="520">
        <v>8</v>
      </c>
      <c r="B18" s="520" t="s">
        <v>27</v>
      </c>
      <c r="C18" s="520"/>
      <c r="D18" s="22" t="s">
        <v>22</v>
      </c>
      <c r="E18" s="23">
        <f>'Carga Flex'!E18</f>
        <v>0</v>
      </c>
      <c r="F18" s="24">
        <f>IF(E18=0,0,E18/SUM(E18:E21))</f>
        <v>0</v>
      </c>
      <c r="G18" s="23">
        <f t="shared" si="1"/>
        <v>0</v>
      </c>
      <c r="H18" s="25">
        <f>'Carga Flex'!H18</f>
        <v>0</v>
      </c>
      <c r="I18" s="25">
        <f>'Carga Flex'!I18</f>
        <v>0</v>
      </c>
      <c r="J18" s="25">
        <f>'Carga Flex'!J18</f>
        <v>0</v>
      </c>
      <c r="K18" s="25">
        <f>'Carga Flex'!K18</f>
        <v>0</v>
      </c>
      <c r="L18" s="25">
        <f>'Carga Flex'!L18</f>
        <v>0</v>
      </c>
      <c r="M18" s="261">
        <f>'Carga Flex'!M18</f>
        <v>0</v>
      </c>
      <c r="N18" s="23"/>
      <c r="O18" s="25"/>
      <c r="P18" s="25"/>
      <c r="Q18" s="25"/>
      <c r="R18" s="269"/>
      <c r="S18" s="162">
        <f>ROUND((H18+I18)*$Y$6/1000,0)*1000</f>
        <v>0</v>
      </c>
      <c r="T18" s="163">
        <f>ROUND((J18+K18)*$Y$6/1000,0)*1000</f>
        <v>0</v>
      </c>
      <c r="U18" s="164">
        <f>ROUND(O18*$Y$6/1000,0)*1000</f>
        <v>0</v>
      </c>
      <c r="V18" s="550">
        <f>'Pav Flex'!E12</f>
        <v>3</v>
      </c>
      <c r="W18" s="539">
        <f>$Y$2</f>
        <v>0.05</v>
      </c>
      <c r="X18" s="25">
        <f>V18*365*(1+W18)^($Y$4-$B$5)*((1+W18)^$Y$5-1)/W18*F18/1000</f>
        <v>0</v>
      </c>
      <c r="Y18" s="24"/>
    </row>
    <row r="19" spans="1:25" ht="12.75" hidden="1">
      <c r="A19" s="521"/>
      <c r="B19" s="521"/>
      <c r="C19" s="521"/>
      <c r="D19" s="28" t="s">
        <v>23</v>
      </c>
      <c r="E19" s="29">
        <f>'Carga Flex'!E19</f>
        <v>0</v>
      </c>
      <c r="F19" s="30">
        <f>IF(E19=0,0,E19/SUM(E18:E21))</f>
        <v>0</v>
      </c>
      <c r="G19" s="29">
        <f t="shared" si="1"/>
        <v>0</v>
      </c>
      <c r="H19" s="31">
        <f>'Carga Flex'!H19</f>
        <v>0</v>
      </c>
      <c r="I19" s="31">
        <f>'Carga Flex'!I19</f>
        <v>0</v>
      </c>
      <c r="J19" s="31">
        <f>'Carga Flex'!J19</f>
        <v>0</v>
      </c>
      <c r="K19" s="31">
        <f>'Carga Flex'!K19</f>
        <v>0</v>
      </c>
      <c r="L19" s="31">
        <f>'Carga Flex'!L19</f>
        <v>0</v>
      </c>
      <c r="M19" s="262">
        <f>'Carga Flex'!M19</f>
        <v>0</v>
      </c>
      <c r="N19" s="29"/>
      <c r="O19" s="31"/>
      <c r="P19" s="31"/>
      <c r="Q19" s="31"/>
      <c r="R19" s="270"/>
      <c r="S19" s="165">
        <f>ROUND((H19+I19)*$Y$6/1000,0)*1000</f>
        <v>0</v>
      </c>
      <c r="T19" s="166">
        <f>ROUND((J19+K19)*$Y$6/1000,0)*1000</f>
        <v>0</v>
      </c>
      <c r="U19" s="167">
        <f>ROUND(O19*$Y$6/1000,0)*1000</f>
        <v>0</v>
      </c>
      <c r="V19" s="551"/>
      <c r="W19" s="540"/>
      <c r="X19" s="31">
        <f>V18*365*(1+W18)^($Y$4-$B$5)*((1+W18)^$Y$5-1)/W18*F19/1000</f>
        <v>0</v>
      </c>
      <c r="Y19" s="30"/>
    </row>
    <row r="20" spans="1:25" ht="12.75" hidden="1">
      <c r="A20" s="521"/>
      <c r="B20" s="521"/>
      <c r="C20" s="521"/>
      <c r="D20" s="28" t="s">
        <v>24</v>
      </c>
      <c r="E20" s="29">
        <f>'Carga Flex'!E20</f>
        <v>0</v>
      </c>
      <c r="F20" s="30">
        <f>IF(E20=0,0,E20/SUM(E18:E21))</f>
        <v>0</v>
      </c>
      <c r="G20" s="29">
        <f t="shared" si="1"/>
        <v>0</v>
      </c>
      <c r="H20" s="31">
        <f>'Carga Flex'!H20</f>
        <v>0</v>
      </c>
      <c r="I20" s="31">
        <f>'Carga Flex'!I20</f>
        <v>0</v>
      </c>
      <c r="J20" s="31">
        <f>'Carga Flex'!J20</f>
        <v>0</v>
      </c>
      <c r="K20" s="31">
        <f>'Carga Flex'!K20</f>
        <v>0</v>
      </c>
      <c r="L20" s="31">
        <f>'Carga Flex'!L20</f>
        <v>0</v>
      </c>
      <c r="M20" s="262">
        <f>'Carga Flex'!M20</f>
        <v>0</v>
      </c>
      <c r="N20" s="29"/>
      <c r="O20" s="31"/>
      <c r="P20" s="31"/>
      <c r="Q20" s="31"/>
      <c r="R20" s="270"/>
      <c r="S20" s="165">
        <f>ROUND((H20+I20)*$Y$6/1000,0)*1000</f>
        <v>0</v>
      </c>
      <c r="T20" s="166">
        <f>ROUND((J20+K20)*$Y$6/1000,0)*1000</f>
        <v>0</v>
      </c>
      <c r="U20" s="167">
        <f>ROUND(O20*$Y$6/1000,0)*1000</f>
        <v>0</v>
      </c>
      <c r="V20" s="551"/>
      <c r="W20" s="540"/>
      <c r="X20" s="31">
        <f>V18*365*(1+W18)^($Y$4-$B$5)*((1+W18)^$Y$5-1)/W18*F20/1000</f>
        <v>0</v>
      </c>
      <c r="Y20" s="30"/>
    </row>
    <row r="21" spans="1:25" ht="12.75" hidden="1">
      <c r="A21" s="522"/>
      <c r="B21" s="522"/>
      <c r="C21" s="522"/>
      <c r="D21" s="34" t="s">
        <v>25</v>
      </c>
      <c r="E21" s="35">
        <f>'Carga Flex'!E21</f>
        <v>0</v>
      </c>
      <c r="F21" s="36">
        <f>IF(E21=0,0,E21/SUM(E18:E21))</f>
        <v>0</v>
      </c>
      <c r="G21" s="35">
        <f t="shared" si="1"/>
        <v>0</v>
      </c>
      <c r="H21" s="37">
        <f>'Carga Flex'!H21</f>
        <v>0</v>
      </c>
      <c r="I21" s="37">
        <f>'Carga Flex'!I21</f>
        <v>0</v>
      </c>
      <c r="J21" s="37">
        <f>'Carga Flex'!J21</f>
        <v>0</v>
      </c>
      <c r="K21" s="37">
        <f>'Carga Flex'!K21</f>
        <v>0</v>
      </c>
      <c r="L21" s="37">
        <f>'Carga Flex'!L21</f>
        <v>0</v>
      </c>
      <c r="M21" s="263">
        <f>'Carga Flex'!M21</f>
        <v>0</v>
      </c>
      <c r="N21" s="35"/>
      <c r="O21" s="37"/>
      <c r="P21" s="37"/>
      <c r="Q21" s="37"/>
      <c r="R21" s="271"/>
      <c r="S21" s="168">
        <f>ROUND((H21+I21)*$Y$6/1000,0)*1000</f>
        <v>0</v>
      </c>
      <c r="T21" s="169">
        <f>ROUND((J21+K21)*$Y$6/1000,0)*1000</f>
        <v>0</v>
      </c>
      <c r="U21" s="170">
        <f>ROUND(O21*$Y$6/1000,0)*1000</f>
        <v>0</v>
      </c>
      <c r="V21" s="552"/>
      <c r="W21" s="541"/>
      <c r="X21" s="37">
        <f>V18*365*(1+W18)^($Y$4-$B$5)*((1+W18)^$Y$5-1)/W18*F21/1000</f>
        <v>0</v>
      </c>
      <c r="Y21" s="36"/>
    </row>
    <row r="22" spans="1:25" ht="12.75">
      <c r="A22" s="517">
        <v>9</v>
      </c>
      <c r="B22" s="517" t="s">
        <v>28</v>
      </c>
      <c r="C22" s="517"/>
      <c r="D22" s="1" t="s">
        <v>22</v>
      </c>
      <c r="E22" s="4">
        <f>'Carga Flex'!E26</f>
        <v>582</v>
      </c>
      <c r="F22" s="13">
        <f>IF(E22=0,0,E22/SUM(E22:E25))</f>
        <v>0.09768378650553877</v>
      </c>
      <c r="G22" s="4">
        <f t="shared" si="1"/>
        <v>5625</v>
      </c>
      <c r="H22" s="7">
        <f>'Carga Flex'!H26</f>
        <v>2707</v>
      </c>
      <c r="I22" s="7">
        <f>'Carga Flex'!I26</f>
        <v>2918</v>
      </c>
      <c r="J22" s="7">
        <f>'Carga Flex'!J26</f>
        <v>0</v>
      </c>
      <c r="K22" s="7">
        <f>'Carga Flex'!K26</f>
        <v>0</v>
      </c>
      <c r="L22" s="7">
        <f>'Carga Flex'!L26</f>
        <v>0</v>
      </c>
      <c r="M22" s="264">
        <f>'Carga Flex'!M26</f>
        <v>0</v>
      </c>
      <c r="N22" s="4">
        <f aca="true" t="shared" si="2" ref="N22:O25">ROUND(H22*$Y$6/1000,0)*1000</f>
        <v>3000</v>
      </c>
      <c r="O22" s="7">
        <f t="shared" si="2"/>
        <v>4000</v>
      </c>
      <c r="P22" s="7"/>
      <c r="Q22" s="7"/>
      <c r="R22" s="264"/>
      <c r="S22" s="4"/>
      <c r="T22" s="10"/>
      <c r="U22" s="171"/>
      <c r="V22" s="553">
        <f>'Pav Flex'!E13</f>
        <v>46</v>
      </c>
      <c r="W22" s="542">
        <f>$Y$3</f>
        <v>0.04</v>
      </c>
      <c r="X22" s="7">
        <f>V22*365*(1+W22)^($Y$4-$B$5)*((1+W22)^$Y$5-1)/W22*F22/1000</f>
        <v>197.2029706699218</v>
      </c>
      <c r="Y22" s="13">
        <f>IF(X22=0,0,X22/SUM(X22:X25))</f>
        <v>0.09768378650553877</v>
      </c>
    </row>
    <row r="23" spans="1:25" ht="12.75">
      <c r="A23" s="518"/>
      <c r="B23" s="518"/>
      <c r="C23" s="518"/>
      <c r="D23" s="2" t="s">
        <v>23</v>
      </c>
      <c r="E23" s="5">
        <f>'Carga Flex'!E27</f>
        <v>3006</v>
      </c>
      <c r="F23" s="14">
        <f>IF(E23=0,0,E23/SUM(E22:E25))</f>
        <v>0.5045317220543807</v>
      </c>
      <c r="G23" s="5">
        <f t="shared" si="1"/>
        <v>9219</v>
      </c>
      <c r="H23" s="8">
        <f>'Carga Flex'!H27</f>
        <v>4152</v>
      </c>
      <c r="I23" s="8">
        <f>'Carga Flex'!I27</f>
        <v>5067</v>
      </c>
      <c r="J23" s="8">
        <f>'Carga Flex'!J27</f>
        <v>0</v>
      </c>
      <c r="K23" s="8">
        <f>'Carga Flex'!K27</f>
        <v>0</v>
      </c>
      <c r="L23" s="8">
        <f>'Carga Flex'!L27</f>
        <v>0</v>
      </c>
      <c r="M23" s="265">
        <f>'Carga Flex'!M27</f>
        <v>0</v>
      </c>
      <c r="N23" s="5">
        <f t="shared" si="2"/>
        <v>5000</v>
      </c>
      <c r="O23" s="8">
        <f t="shared" si="2"/>
        <v>6000</v>
      </c>
      <c r="P23" s="8"/>
      <c r="Q23" s="8"/>
      <c r="R23" s="265"/>
      <c r="S23" s="5"/>
      <c r="T23" s="11"/>
      <c r="U23" s="172"/>
      <c r="V23" s="554"/>
      <c r="W23" s="543"/>
      <c r="X23" s="8">
        <f>V22*365*(1+W22)^($Y$4-$B$5)*((1+W22)^$Y$5-1)/W22*F23/1000</f>
        <v>1018.5431784085653</v>
      </c>
      <c r="Y23" s="14">
        <f>IF(X23=0,0,X23/SUM(X22:X25))</f>
        <v>0.5045317220543807</v>
      </c>
    </row>
    <row r="24" spans="1:25" ht="12.75">
      <c r="A24" s="518"/>
      <c r="B24" s="518"/>
      <c r="C24" s="518"/>
      <c r="D24" s="2" t="s">
        <v>24</v>
      </c>
      <c r="E24" s="5">
        <f>'Carga Flex'!E28</f>
        <v>1125</v>
      </c>
      <c r="F24" s="14">
        <f>IF(E24=0,0,E24/SUM(E22:E25))</f>
        <v>0.18882175226586104</v>
      </c>
      <c r="G24" s="5">
        <f t="shared" si="1"/>
        <v>14998</v>
      </c>
      <c r="H24" s="8">
        <f>'Carga Flex'!H28</f>
        <v>5996</v>
      </c>
      <c r="I24" s="8">
        <f>'Carga Flex'!I28</f>
        <v>9002</v>
      </c>
      <c r="J24" s="8">
        <f>'Carga Flex'!J28</f>
        <v>0</v>
      </c>
      <c r="K24" s="8">
        <f>'Carga Flex'!K28</f>
        <v>0</v>
      </c>
      <c r="L24" s="8">
        <f>'Carga Flex'!L28</f>
        <v>0</v>
      </c>
      <c r="M24" s="265">
        <f>'Carga Flex'!M28</f>
        <v>0</v>
      </c>
      <c r="N24" s="5">
        <f t="shared" si="2"/>
        <v>7000</v>
      </c>
      <c r="O24" s="8">
        <f t="shared" si="2"/>
        <v>11000</v>
      </c>
      <c r="P24" s="8"/>
      <c r="Q24" s="8"/>
      <c r="R24" s="265"/>
      <c r="S24" s="5"/>
      <c r="T24" s="11"/>
      <c r="U24" s="172"/>
      <c r="V24" s="554"/>
      <c r="W24" s="543"/>
      <c r="X24" s="8">
        <f>V22*365*(1+W22)^($Y$4-$B$5)*((1+W22)^$Y$5-1)/W22*F24/1000</f>
        <v>381.19130928464267</v>
      </c>
      <c r="Y24" s="14">
        <f>IF(X24=0,0,X24/SUM(X22:X25))</f>
        <v>0.18882175226586104</v>
      </c>
    </row>
    <row r="25" spans="1:25" ht="12.75">
      <c r="A25" s="519"/>
      <c r="B25" s="519"/>
      <c r="C25" s="519"/>
      <c r="D25" s="3" t="s">
        <v>25</v>
      </c>
      <c r="E25" s="6">
        <f>'Carga Flex'!E29</f>
        <v>1245</v>
      </c>
      <c r="F25" s="15">
        <f>IF(E25=0,0,E25/SUM(E22:E25))</f>
        <v>0.20896273917421954</v>
      </c>
      <c r="G25" s="6">
        <f t="shared" si="1"/>
        <v>18805</v>
      </c>
      <c r="H25" s="9">
        <f>'Carga Flex'!H29</f>
        <v>8691</v>
      </c>
      <c r="I25" s="9">
        <f>'Carga Flex'!I29</f>
        <v>10114</v>
      </c>
      <c r="J25" s="9">
        <f>'Carga Flex'!J29</f>
        <v>0</v>
      </c>
      <c r="K25" s="9">
        <f>'Carga Flex'!K29</f>
        <v>0</v>
      </c>
      <c r="L25" s="9">
        <f>'Carga Flex'!L29</f>
        <v>0</v>
      </c>
      <c r="M25" s="266">
        <f>'Carga Flex'!M29</f>
        <v>0</v>
      </c>
      <c r="N25" s="6">
        <f t="shared" si="2"/>
        <v>10000</v>
      </c>
      <c r="O25" s="9">
        <f t="shared" si="2"/>
        <v>12000</v>
      </c>
      <c r="P25" s="9"/>
      <c r="Q25" s="9"/>
      <c r="R25" s="266"/>
      <c r="S25" s="6"/>
      <c r="T25" s="12"/>
      <c r="U25" s="173"/>
      <c r="V25" s="555"/>
      <c r="W25" s="544"/>
      <c r="X25" s="9">
        <f>V22*365*(1+W22)^($Y$4-$B$5)*((1+W22)^$Y$5-1)/W22*F25/1000</f>
        <v>421.8517156083379</v>
      </c>
      <c r="Y25" s="15">
        <f>IF(X25=0,0,X25/SUM(X22:X25))</f>
        <v>0.20896273917421954</v>
      </c>
    </row>
    <row r="26" spans="1:25" ht="12.75">
      <c r="A26" s="520">
        <v>10</v>
      </c>
      <c r="B26" s="520" t="s">
        <v>29</v>
      </c>
      <c r="C26" s="520"/>
      <c r="D26" s="22" t="s">
        <v>22</v>
      </c>
      <c r="E26" s="23">
        <f>'Carga Flex'!E30</f>
        <v>154</v>
      </c>
      <c r="F26" s="24">
        <f>IF(E26=0,0,E26/SUM(E26:E29))</f>
        <v>0.05248807089297887</v>
      </c>
      <c r="G26" s="23">
        <f t="shared" si="1"/>
        <v>8237</v>
      </c>
      <c r="H26" s="25">
        <f>'Carga Flex'!H30</f>
        <v>3349</v>
      </c>
      <c r="I26" s="25">
        <f>'Carga Flex'!I30</f>
        <v>2447</v>
      </c>
      <c r="J26" s="25">
        <f>'Carga Flex'!J30</f>
        <v>2441</v>
      </c>
      <c r="K26" s="25">
        <f>'Carga Flex'!K30</f>
        <v>0</v>
      </c>
      <c r="L26" s="25">
        <f>'Carga Flex'!L30</f>
        <v>0</v>
      </c>
      <c r="M26" s="261">
        <f>'Carga Flex'!M30</f>
        <v>0</v>
      </c>
      <c r="N26" s="23">
        <f>ROUND(H26*$Y$6/1000,0)*1000</f>
        <v>4000</v>
      </c>
      <c r="O26" s="25"/>
      <c r="P26" s="25"/>
      <c r="Q26" s="25"/>
      <c r="R26" s="269"/>
      <c r="S26" s="162">
        <f>ROUND((I26+J26)*$Y$6/1000,0)*1000</f>
        <v>6000</v>
      </c>
      <c r="T26" s="163"/>
      <c r="U26" s="164"/>
      <c r="V26" s="550">
        <f>'Pav Flex'!E14</f>
        <v>18</v>
      </c>
      <c r="W26" s="539">
        <f>$Y$3</f>
        <v>0.04</v>
      </c>
      <c r="X26" s="25">
        <f>V26*365*(1+W26)^($Y$4-$B$5)*((1+W26)^$Y$5-1)/W26*F26/1000</f>
        <v>41.463527979675376</v>
      </c>
      <c r="Y26" s="24">
        <f>IF(X26=0,0,X26/SUM(X26:X29))</f>
        <v>0.052488070892978876</v>
      </c>
    </row>
    <row r="27" spans="1:25" ht="12.75">
      <c r="A27" s="521"/>
      <c r="B27" s="521"/>
      <c r="C27" s="521"/>
      <c r="D27" s="28" t="s">
        <v>23</v>
      </c>
      <c r="E27" s="29">
        <f>'Carga Flex'!E31</f>
        <v>642</v>
      </c>
      <c r="F27" s="30">
        <f>IF(E27=0,0,E27/SUM(E26:E29))</f>
        <v>0.21881390593047034</v>
      </c>
      <c r="G27" s="29">
        <f t="shared" si="1"/>
        <v>14089</v>
      </c>
      <c r="H27" s="31">
        <f>'Carga Flex'!H31</f>
        <v>4947</v>
      </c>
      <c r="I27" s="31">
        <f>'Carga Flex'!I31</f>
        <v>4769</v>
      </c>
      <c r="J27" s="31">
        <f>'Carga Flex'!J31</f>
        <v>4373</v>
      </c>
      <c r="K27" s="31">
        <f>'Carga Flex'!K31</f>
        <v>0</v>
      </c>
      <c r="L27" s="31">
        <f>'Carga Flex'!L31</f>
        <v>0</v>
      </c>
      <c r="M27" s="262">
        <f>'Carga Flex'!M31</f>
        <v>0</v>
      </c>
      <c r="N27" s="29">
        <f>ROUND(H27*$Y$6/1000,0)*1000</f>
        <v>6000</v>
      </c>
      <c r="O27" s="31"/>
      <c r="P27" s="31"/>
      <c r="Q27" s="31"/>
      <c r="R27" s="270"/>
      <c r="S27" s="165">
        <f>ROUND((I27+J27)*$Y$6/1000,0)*1000</f>
        <v>11000</v>
      </c>
      <c r="T27" s="166"/>
      <c r="U27" s="167"/>
      <c r="V27" s="551"/>
      <c r="W27" s="540"/>
      <c r="X27" s="31">
        <f>V26*365*(1+W26)^($Y$4-$B$5)*((1+W26)^$Y$5-1)/W26*F27/1000</f>
        <v>172.85444781137394</v>
      </c>
      <c r="Y27" s="30">
        <f>IF(X27=0,0,X27/SUM(X26:X29))</f>
        <v>0.21881390593047034</v>
      </c>
    </row>
    <row r="28" spans="1:25" ht="12.75">
      <c r="A28" s="521"/>
      <c r="B28" s="521"/>
      <c r="C28" s="521"/>
      <c r="D28" s="28" t="s">
        <v>24</v>
      </c>
      <c r="E28" s="29">
        <f>'Carga Flex'!E32</f>
        <v>770</v>
      </c>
      <c r="F28" s="30">
        <f>IF(E28=0,0,E28/SUM(E26:E29))</f>
        <v>0.26244035446489433</v>
      </c>
      <c r="G28" s="29">
        <f t="shared" si="1"/>
        <v>21937</v>
      </c>
      <c r="H28" s="31">
        <f>'Carga Flex'!H32</f>
        <v>6318</v>
      </c>
      <c r="I28" s="31">
        <f>'Carga Flex'!I32</f>
        <v>8108</v>
      </c>
      <c r="J28" s="31">
        <f>'Carga Flex'!J32</f>
        <v>7511</v>
      </c>
      <c r="K28" s="31">
        <f>'Carga Flex'!K32</f>
        <v>0</v>
      </c>
      <c r="L28" s="31">
        <f>'Carga Flex'!L32</f>
        <v>0</v>
      </c>
      <c r="M28" s="262">
        <f>'Carga Flex'!M32</f>
        <v>0</v>
      </c>
      <c r="N28" s="29">
        <f>ROUND(H28*$Y$6/1000,0)*1000</f>
        <v>8000</v>
      </c>
      <c r="O28" s="31"/>
      <c r="P28" s="31"/>
      <c r="Q28" s="31"/>
      <c r="R28" s="270"/>
      <c r="S28" s="165">
        <f>ROUND((I28+J28)*$Y$6/1000,0)*1000</f>
        <v>19000</v>
      </c>
      <c r="T28" s="166"/>
      <c r="U28" s="167"/>
      <c r="V28" s="551"/>
      <c r="W28" s="540"/>
      <c r="X28" s="31">
        <f>V26*365*(1+W26)^($Y$4-$B$5)*((1+W26)^$Y$5-1)/W26*F28/1000</f>
        <v>207.31763989837685</v>
      </c>
      <c r="Y28" s="30">
        <f>IF(X28=0,0,X28/SUM(X26:X29))</f>
        <v>0.26244035446489433</v>
      </c>
    </row>
    <row r="29" spans="1:25" ht="12.75">
      <c r="A29" s="522"/>
      <c r="B29" s="522"/>
      <c r="C29" s="522"/>
      <c r="D29" s="34" t="s">
        <v>25</v>
      </c>
      <c r="E29" s="35">
        <f>'Carga Flex'!E33</f>
        <v>1368</v>
      </c>
      <c r="F29" s="36">
        <f>IF(E29=0,0,E29/SUM(E26:E29))</f>
        <v>0.4662576687116564</v>
      </c>
      <c r="G29" s="35">
        <f t="shared" si="1"/>
        <v>27558</v>
      </c>
      <c r="H29" s="37">
        <f>'Carga Flex'!H33</f>
        <v>9517</v>
      </c>
      <c r="I29" s="37">
        <f>'Carga Flex'!I33</f>
        <v>8715</v>
      </c>
      <c r="J29" s="37">
        <f>'Carga Flex'!J33</f>
        <v>9326</v>
      </c>
      <c r="K29" s="37">
        <f>'Carga Flex'!K33</f>
        <v>0</v>
      </c>
      <c r="L29" s="37">
        <f>'Carga Flex'!L33</f>
        <v>0</v>
      </c>
      <c r="M29" s="263">
        <f>'Carga Flex'!M33</f>
        <v>0</v>
      </c>
      <c r="N29" s="35">
        <f>ROUND(H29*$Y$6/1000,0)*1000</f>
        <v>11000</v>
      </c>
      <c r="O29" s="37"/>
      <c r="P29" s="37"/>
      <c r="Q29" s="37"/>
      <c r="R29" s="271"/>
      <c r="S29" s="168">
        <f>ROUND((I29+J29)*$Y$6/1000,0)*1000</f>
        <v>22000</v>
      </c>
      <c r="T29" s="169"/>
      <c r="U29" s="170"/>
      <c r="V29" s="552"/>
      <c r="W29" s="541"/>
      <c r="X29" s="37">
        <f>V26*365*(1+W26)^($Y$4-$B$5)*((1+W26)^$Y$5-1)/W26*F29/1000</f>
        <v>368.32536542984354</v>
      </c>
      <c r="Y29" s="36">
        <f>IF(X29=0,0,X29/SUM(X26:X29))</f>
        <v>0.4662576687116564</v>
      </c>
    </row>
    <row r="30" spans="1:25" ht="12.75" hidden="1">
      <c r="A30" s="517">
        <v>11</v>
      </c>
      <c r="B30" s="517" t="s">
        <v>30</v>
      </c>
      <c r="C30" s="517"/>
      <c r="D30" s="1" t="s">
        <v>22</v>
      </c>
      <c r="E30" s="4">
        <f>'Carga Flex'!E34</f>
        <v>0</v>
      </c>
      <c r="F30" s="13">
        <f>IF(E30=0,0,E30/SUM(E30:E33))</f>
        <v>0</v>
      </c>
      <c r="G30" s="4">
        <f t="shared" si="1"/>
        <v>0</v>
      </c>
      <c r="H30" s="7">
        <f>'Carga Flex'!H34</f>
        <v>0</v>
      </c>
      <c r="I30" s="7">
        <f>'Carga Flex'!I34</f>
        <v>0</v>
      </c>
      <c r="J30" s="7">
        <f>'Carga Flex'!J34</f>
        <v>0</v>
      </c>
      <c r="K30" s="7">
        <f>'Carga Flex'!K34</f>
        <v>0</v>
      </c>
      <c r="L30" s="7">
        <f>'Carga Flex'!L34</f>
        <v>0</v>
      </c>
      <c r="M30" s="264">
        <f>'Carga Flex'!M34</f>
        <v>0</v>
      </c>
      <c r="N30" s="4"/>
      <c r="O30" s="7"/>
      <c r="P30" s="7"/>
      <c r="Q30" s="7"/>
      <c r="R30" s="264"/>
      <c r="S30" s="4">
        <f>ROUND((H30+I30)*$Y$6/1000,0)*1000</f>
        <v>0</v>
      </c>
      <c r="T30" s="10">
        <f>ROUND((J30+K30)*$Y$6/1000,0)*1000</f>
        <v>0</v>
      </c>
      <c r="U30" s="171"/>
      <c r="V30" s="553">
        <f>'Pav Flex'!E15</f>
        <v>0</v>
      </c>
      <c r="W30" s="542">
        <f>$Y$3</f>
        <v>0.04</v>
      </c>
      <c r="X30" s="7">
        <f>V30*365*(1+W30)^($Y$4-$B$5)*((1+W30)^$Y$5-1)/W30*F30/1000</f>
        <v>0</v>
      </c>
      <c r="Y30" s="13"/>
    </row>
    <row r="31" spans="1:25" ht="12.75" hidden="1">
      <c r="A31" s="518"/>
      <c r="B31" s="518"/>
      <c r="C31" s="518"/>
      <c r="D31" s="2" t="s">
        <v>23</v>
      </c>
      <c r="E31" s="5">
        <f>'Carga Flex'!E35</f>
        <v>0</v>
      </c>
      <c r="F31" s="14">
        <f>IF(E31=0,0,E31/SUM(E30:E33))</f>
        <v>0</v>
      </c>
      <c r="G31" s="5">
        <f t="shared" si="1"/>
        <v>0</v>
      </c>
      <c r="H31" s="8">
        <f>'Carga Flex'!H35</f>
        <v>0</v>
      </c>
      <c r="I31" s="8">
        <f>'Carga Flex'!I35</f>
        <v>0</v>
      </c>
      <c r="J31" s="8">
        <f>'Carga Flex'!J35</f>
        <v>0</v>
      </c>
      <c r="K31" s="8">
        <f>'Carga Flex'!K35</f>
        <v>0</v>
      </c>
      <c r="L31" s="8">
        <f>'Carga Flex'!L35</f>
        <v>0</v>
      </c>
      <c r="M31" s="265">
        <f>'Carga Flex'!M35</f>
        <v>0</v>
      </c>
      <c r="N31" s="5"/>
      <c r="O31" s="8"/>
      <c r="P31" s="8"/>
      <c r="Q31" s="8"/>
      <c r="R31" s="265"/>
      <c r="S31" s="5">
        <f>ROUND((H31+I31)*$Y$6/1000,0)*1000</f>
        <v>0</v>
      </c>
      <c r="T31" s="11">
        <f>ROUND((J31+K31)*$Y$6/1000,0)*1000</f>
        <v>0</v>
      </c>
      <c r="U31" s="172"/>
      <c r="V31" s="554"/>
      <c r="W31" s="543"/>
      <c r="X31" s="8">
        <f>V30*365*(1+W30)^($Y$4-$B$5)*((1+W30)^$Y$5-1)/W30*F31/1000</f>
        <v>0</v>
      </c>
      <c r="Y31" s="14"/>
    </row>
    <row r="32" spans="1:25" ht="12.75" hidden="1">
      <c r="A32" s="518"/>
      <c r="B32" s="518"/>
      <c r="C32" s="518"/>
      <c r="D32" s="2" t="s">
        <v>24</v>
      </c>
      <c r="E32" s="5">
        <f>'Carga Flex'!E36</f>
        <v>0</v>
      </c>
      <c r="F32" s="14">
        <f>IF(E32=0,0,E32/SUM(E30:E33))</f>
        <v>0</v>
      </c>
      <c r="G32" s="5">
        <f t="shared" si="1"/>
        <v>0</v>
      </c>
      <c r="H32" s="8">
        <f>'Carga Flex'!H36</f>
        <v>0</v>
      </c>
      <c r="I32" s="8">
        <f>'Carga Flex'!I36</f>
        <v>0</v>
      </c>
      <c r="J32" s="8">
        <f>'Carga Flex'!J36</f>
        <v>0</v>
      </c>
      <c r="K32" s="8">
        <f>'Carga Flex'!K36</f>
        <v>0</v>
      </c>
      <c r="L32" s="8">
        <f>'Carga Flex'!L36</f>
        <v>0</v>
      </c>
      <c r="M32" s="265">
        <f>'Carga Flex'!M36</f>
        <v>0</v>
      </c>
      <c r="N32" s="5"/>
      <c r="O32" s="8"/>
      <c r="P32" s="8"/>
      <c r="Q32" s="8"/>
      <c r="R32" s="265"/>
      <c r="S32" s="5">
        <f>ROUND((H32+I32)*$Y$6/1000,0)*1000</f>
        <v>0</v>
      </c>
      <c r="T32" s="11">
        <f>ROUND((J32+K32)*$Y$6/1000,0)*1000</f>
        <v>0</v>
      </c>
      <c r="U32" s="172"/>
      <c r="V32" s="554"/>
      <c r="W32" s="543"/>
      <c r="X32" s="8">
        <f>V30*365*(1+W30)^($Y$4-$B$5)*((1+W30)^$Y$5-1)/W30*F32/1000</f>
        <v>0</v>
      </c>
      <c r="Y32" s="14"/>
    </row>
    <row r="33" spans="1:25" ht="12.75" hidden="1">
      <c r="A33" s="519"/>
      <c r="B33" s="519"/>
      <c r="C33" s="519"/>
      <c r="D33" s="3" t="s">
        <v>25</v>
      </c>
      <c r="E33" s="6">
        <f>'Carga Flex'!E37</f>
        <v>0</v>
      </c>
      <c r="F33" s="15">
        <f>IF(E33=0,0,E33/SUM(E30:E33))</f>
        <v>0</v>
      </c>
      <c r="G33" s="6">
        <f t="shared" si="1"/>
        <v>0</v>
      </c>
      <c r="H33" s="9">
        <f>'Carga Flex'!H37</f>
        <v>0</v>
      </c>
      <c r="I33" s="9">
        <f>'Carga Flex'!I37</f>
        <v>0</v>
      </c>
      <c r="J33" s="9">
        <f>'Carga Flex'!J37</f>
        <v>0</v>
      </c>
      <c r="K33" s="9">
        <f>'Carga Flex'!K37</f>
        <v>0</v>
      </c>
      <c r="L33" s="9">
        <f>'Carga Flex'!L37</f>
        <v>0</v>
      </c>
      <c r="M33" s="266">
        <f>'Carga Flex'!M37</f>
        <v>0</v>
      </c>
      <c r="N33" s="6"/>
      <c r="O33" s="9"/>
      <c r="P33" s="9"/>
      <c r="Q33" s="9"/>
      <c r="R33" s="266"/>
      <c r="S33" s="6">
        <f>ROUND((H33+I33)*$Y$6/1000,0)*1000</f>
        <v>0</v>
      </c>
      <c r="T33" s="12">
        <f>ROUND((J33+K33)*$Y$6/1000,0)*1000</f>
        <v>0</v>
      </c>
      <c r="U33" s="173"/>
      <c r="V33" s="555"/>
      <c r="W33" s="544"/>
      <c r="X33" s="9">
        <f>V30*365*(1+W30)^($Y$4-$B$5)*((1+W30)^$Y$5-1)/W30*F33/1000</f>
        <v>0</v>
      </c>
      <c r="Y33" s="15"/>
    </row>
    <row r="34" spans="1:25" ht="12.75" hidden="1">
      <c r="A34" s="520">
        <v>12</v>
      </c>
      <c r="B34" s="520" t="s">
        <v>31</v>
      </c>
      <c r="C34" s="520"/>
      <c r="D34" s="22" t="s">
        <v>22</v>
      </c>
      <c r="E34" s="23">
        <f>'Carga Flex'!E38</f>
        <v>0</v>
      </c>
      <c r="F34" s="24">
        <f>IF(E34=0,0,E34/SUM(E34:E37))</f>
        <v>0</v>
      </c>
      <c r="G34" s="23">
        <f t="shared" si="1"/>
        <v>0</v>
      </c>
      <c r="H34" s="25">
        <f>'Carga Flex'!H38</f>
        <v>0</v>
      </c>
      <c r="I34" s="25">
        <f>'Carga Flex'!I38</f>
        <v>0</v>
      </c>
      <c r="J34" s="25">
        <f>'Carga Flex'!J38</f>
        <v>0</v>
      </c>
      <c r="K34" s="25">
        <f>'Carga Flex'!K38</f>
        <v>0</v>
      </c>
      <c r="L34" s="25">
        <f>'Carga Flex'!L38</f>
        <v>0</v>
      </c>
      <c r="M34" s="261">
        <f>'Carga Flex'!M38</f>
        <v>0</v>
      </c>
      <c r="N34" s="23">
        <f aca="true" t="shared" si="3" ref="N34:P37">ROUND(H34*$Y$6/1000,0)*1000</f>
        <v>0</v>
      </c>
      <c r="O34" s="25">
        <f t="shared" si="3"/>
        <v>0</v>
      </c>
      <c r="P34" s="25">
        <f t="shared" si="3"/>
        <v>0</v>
      </c>
      <c r="Q34" s="25"/>
      <c r="R34" s="269"/>
      <c r="S34" s="162"/>
      <c r="T34" s="163"/>
      <c r="U34" s="164"/>
      <c r="V34" s="550">
        <f>'Pav Flex'!E16</f>
        <v>4</v>
      </c>
      <c r="W34" s="539">
        <f>$Y$3</f>
        <v>0.04</v>
      </c>
      <c r="X34" s="25">
        <f>V34*365*(1+W34)^($Y$4-$B$5)*((1+W34)^$Y$5-1)/W34*F34/1000</f>
        <v>0</v>
      </c>
      <c r="Y34" s="24">
        <f>IF(X34=0,0,X34/SUM(X34:X37))</f>
        <v>0</v>
      </c>
    </row>
    <row r="35" spans="1:25" ht="12.75" hidden="1">
      <c r="A35" s="521"/>
      <c r="B35" s="521"/>
      <c r="C35" s="521"/>
      <c r="D35" s="28" t="s">
        <v>23</v>
      </c>
      <c r="E35" s="29">
        <f>'Carga Flex'!E39</f>
        <v>0</v>
      </c>
      <c r="F35" s="30">
        <f>IF(E35=0,0,E35/SUM(E34:E37))</f>
        <v>0</v>
      </c>
      <c r="G35" s="29">
        <f t="shared" si="1"/>
        <v>0</v>
      </c>
      <c r="H35" s="31">
        <f>'Carga Flex'!H39</f>
        <v>0</v>
      </c>
      <c r="I35" s="31">
        <f>'Carga Flex'!I39</f>
        <v>0</v>
      </c>
      <c r="J35" s="31">
        <f>'Carga Flex'!J39</f>
        <v>0</v>
      </c>
      <c r="K35" s="31">
        <f>'Carga Flex'!K39</f>
        <v>0</v>
      </c>
      <c r="L35" s="31">
        <f>'Carga Flex'!L39</f>
        <v>0</v>
      </c>
      <c r="M35" s="262">
        <f>'Carga Flex'!M39</f>
        <v>0</v>
      </c>
      <c r="N35" s="29">
        <f t="shared" si="3"/>
        <v>0</v>
      </c>
      <c r="O35" s="31">
        <f t="shared" si="3"/>
        <v>0</v>
      </c>
      <c r="P35" s="31">
        <f t="shared" si="3"/>
        <v>0</v>
      </c>
      <c r="Q35" s="31"/>
      <c r="R35" s="270"/>
      <c r="S35" s="165"/>
      <c r="T35" s="166"/>
      <c r="U35" s="167"/>
      <c r="V35" s="551"/>
      <c r="W35" s="540"/>
      <c r="X35" s="31">
        <f>V34*365*(1+W34)^($Y$4-$B$5)*((1+W34)^$Y$5-1)/W34*F35/1000</f>
        <v>0</v>
      </c>
      <c r="Y35" s="30">
        <f>IF(X35=0,0,X35/SUM(X34:X37))</f>
        <v>0</v>
      </c>
    </row>
    <row r="36" spans="1:25" ht="12.75" hidden="1">
      <c r="A36" s="521"/>
      <c r="B36" s="521"/>
      <c r="C36" s="521"/>
      <c r="D36" s="28" t="s">
        <v>24</v>
      </c>
      <c r="E36" s="29">
        <f>'Carga Flex'!E40</f>
        <v>0</v>
      </c>
      <c r="F36" s="30">
        <f>IF(E36=0,0,E36/SUM(E34:E37))</f>
        <v>0</v>
      </c>
      <c r="G36" s="29">
        <f t="shared" si="1"/>
        <v>0</v>
      </c>
      <c r="H36" s="31">
        <f>'Carga Flex'!H40</f>
        <v>0</v>
      </c>
      <c r="I36" s="31">
        <f>'Carga Flex'!I40</f>
        <v>0</v>
      </c>
      <c r="J36" s="31">
        <f>'Carga Flex'!J40</f>
        <v>0</v>
      </c>
      <c r="K36" s="31">
        <f>'Carga Flex'!K40</f>
        <v>0</v>
      </c>
      <c r="L36" s="31">
        <f>'Carga Flex'!L40</f>
        <v>0</v>
      </c>
      <c r="M36" s="262">
        <f>'Carga Flex'!M40</f>
        <v>0</v>
      </c>
      <c r="N36" s="29">
        <f t="shared" si="3"/>
        <v>0</v>
      </c>
      <c r="O36" s="31">
        <f t="shared" si="3"/>
        <v>0</v>
      </c>
      <c r="P36" s="31">
        <f t="shared" si="3"/>
        <v>0</v>
      </c>
      <c r="Q36" s="31"/>
      <c r="R36" s="270"/>
      <c r="S36" s="165"/>
      <c r="T36" s="166"/>
      <c r="U36" s="167"/>
      <c r="V36" s="551"/>
      <c r="W36" s="540"/>
      <c r="X36" s="31">
        <f>V34*365*(1+W34)^($Y$4-$B$5)*((1+W34)^$Y$5-1)/W34*F36/1000</f>
        <v>0</v>
      </c>
      <c r="Y36" s="30">
        <f>IF(X36=0,0,X36/SUM(X34:X37))</f>
        <v>0</v>
      </c>
    </row>
    <row r="37" spans="1:25" ht="12.75" hidden="1">
      <c r="A37" s="522"/>
      <c r="B37" s="522"/>
      <c r="C37" s="522"/>
      <c r="D37" s="34" t="s">
        <v>25</v>
      </c>
      <c r="E37" s="35">
        <f>'Carga Flex'!E41</f>
        <v>0</v>
      </c>
      <c r="F37" s="36">
        <f>IF(E37=0,0,E37/SUM(E34:E37))</f>
        <v>0</v>
      </c>
      <c r="G37" s="35">
        <f t="shared" si="1"/>
        <v>0</v>
      </c>
      <c r="H37" s="37">
        <f>'Carga Flex'!H41</f>
        <v>0</v>
      </c>
      <c r="I37" s="37">
        <f>'Carga Flex'!I41</f>
        <v>0</v>
      </c>
      <c r="J37" s="37">
        <f>'Carga Flex'!J41</f>
        <v>0</v>
      </c>
      <c r="K37" s="37">
        <f>'Carga Flex'!K41</f>
        <v>0</v>
      </c>
      <c r="L37" s="37">
        <f>'Carga Flex'!L41</f>
        <v>0</v>
      </c>
      <c r="M37" s="263">
        <f>'Carga Flex'!M41</f>
        <v>0</v>
      </c>
      <c r="N37" s="35">
        <f t="shared" si="3"/>
        <v>0</v>
      </c>
      <c r="O37" s="37">
        <f t="shared" si="3"/>
        <v>0</v>
      </c>
      <c r="P37" s="37">
        <f t="shared" si="3"/>
        <v>0</v>
      </c>
      <c r="Q37" s="37"/>
      <c r="R37" s="271"/>
      <c r="S37" s="168"/>
      <c r="T37" s="169"/>
      <c r="U37" s="170"/>
      <c r="V37" s="552"/>
      <c r="W37" s="541"/>
      <c r="X37" s="37">
        <f>V34*365*(1+W34)^($Y$4-$B$5)*((1+W34)^$Y$5-1)/W34*F37/1000</f>
        <v>0</v>
      </c>
      <c r="Y37" s="36">
        <f>IF(X37=0,0,X37/SUM(X34:X37))</f>
        <v>0</v>
      </c>
    </row>
    <row r="38" spans="1:25" ht="12.75">
      <c r="A38" s="517">
        <v>13</v>
      </c>
      <c r="B38" s="517" t="s">
        <v>32</v>
      </c>
      <c r="C38" s="517"/>
      <c r="D38" s="1" t="s">
        <v>22</v>
      </c>
      <c r="E38" s="4">
        <f>'Carga Flex'!E50</f>
        <v>140</v>
      </c>
      <c r="F38" s="13">
        <f>IF(E38=0,0,E38/SUM(E38:E41))</f>
        <v>0.04303719643406086</v>
      </c>
      <c r="G38" s="4">
        <f t="shared" si="1"/>
        <v>12159</v>
      </c>
      <c r="H38" s="7">
        <f>'Carga Flex'!H50</f>
        <v>3412</v>
      </c>
      <c r="I38" s="7">
        <f>'Carga Flex'!I50</f>
        <v>4125</v>
      </c>
      <c r="J38" s="7">
        <f>'Carga Flex'!J50</f>
        <v>2239</v>
      </c>
      <c r="K38" s="7">
        <f>'Carga Flex'!K50</f>
        <v>2383</v>
      </c>
      <c r="L38" s="7">
        <f>'Carga Flex'!L50</f>
        <v>0</v>
      </c>
      <c r="M38" s="264">
        <f>'Carga Flex'!M50</f>
        <v>0</v>
      </c>
      <c r="N38" s="4">
        <f aca="true" t="shared" si="4" ref="N38:O41">ROUND(H38*$Y$6/1000,0)*1000</f>
        <v>4000</v>
      </c>
      <c r="O38" s="7">
        <f t="shared" si="4"/>
        <v>5000</v>
      </c>
      <c r="P38" s="7"/>
      <c r="Q38" s="7"/>
      <c r="R38" s="264"/>
      <c r="S38" s="4">
        <f>ROUND((J38+K38)*$Y$6/1000,0)*1000</f>
        <v>6000</v>
      </c>
      <c r="T38" s="10"/>
      <c r="U38" s="171"/>
      <c r="V38" s="553">
        <f>'Pav Flex'!E17</f>
        <v>34</v>
      </c>
      <c r="W38" s="542">
        <f>$Y$3</f>
        <v>0.04</v>
      </c>
      <c r="X38" s="7">
        <f>V38*365*(1+W38)^($Y$4-$B$5)*((1+W38)^$Y$5-1)/W38*F38/1000</f>
        <v>64.2178889593832</v>
      </c>
      <c r="Y38" s="13">
        <f>IF(X38=0,0,X38/SUM(X38:X41))</f>
        <v>0.04303719643406086</v>
      </c>
    </row>
    <row r="39" spans="1:25" ht="12.75">
      <c r="A39" s="518"/>
      <c r="B39" s="518"/>
      <c r="C39" s="518"/>
      <c r="D39" s="2" t="s">
        <v>23</v>
      </c>
      <c r="E39" s="5">
        <f>'Carga Flex'!E51</f>
        <v>1363</v>
      </c>
      <c r="F39" s="14">
        <f>IF(E39=0,0,E39/SUM(E38:E41))</f>
        <v>0.4189978481401783</v>
      </c>
      <c r="G39" s="5">
        <f t="shared" si="1"/>
        <v>19422</v>
      </c>
      <c r="H39" s="8">
        <f>'Carga Flex'!H51</f>
        <v>4459</v>
      </c>
      <c r="I39" s="8">
        <f>'Carga Flex'!I51</f>
        <v>6485</v>
      </c>
      <c r="J39" s="8">
        <f>'Carga Flex'!J51</f>
        <v>4263</v>
      </c>
      <c r="K39" s="8">
        <f>'Carga Flex'!K51</f>
        <v>4215</v>
      </c>
      <c r="L39" s="8">
        <f>'Carga Flex'!L51</f>
        <v>0</v>
      </c>
      <c r="M39" s="265">
        <f>'Carga Flex'!M51</f>
        <v>0</v>
      </c>
      <c r="N39" s="5">
        <f t="shared" si="4"/>
        <v>5000</v>
      </c>
      <c r="O39" s="8">
        <f t="shared" si="4"/>
        <v>8000</v>
      </c>
      <c r="P39" s="8"/>
      <c r="Q39" s="8"/>
      <c r="R39" s="265"/>
      <c r="S39" s="5">
        <f>ROUND((J39+K39)*$Y$6/1000,0)*1000</f>
        <v>10000</v>
      </c>
      <c r="T39" s="11"/>
      <c r="U39" s="172"/>
      <c r="V39" s="554"/>
      <c r="W39" s="543"/>
      <c r="X39" s="8">
        <f>V38*365*(1+W38)^($Y$4-$B$5)*((1+W38)^$Y$5-1)/W38*F39/1000</f>
        <v>625.2070189402808</v>
      </c>
      <c r="Y39" s="14">
        <f>IF(X39=0,0,X39/SUM(X38:X41))</f>
        <v>0.4189978481401783</v>
      </c>
    </row>
    <row r="40" spans="1:25" ht="12.75">
      <c r="A40" s="518"/>
      <c r="B40" s="518"/>
      <c r="C40" s="518"/>
      <c r="D40" s="2" t="s">
        <v>24</v>
      </c>
      <c r="E40" s="5">
        <f>'Carga Flex'!E52</f>
        <v>1450</v>
      </c>
      <c r="F40" s="14">
        <f>IF(E40=0,0,E40/SUM(E38:E41))</f>
        <v>0.44574239163848756</v>
      </c>
      <c r="G40" s="5">
        <f t="shared" si="1"/>
        <v>31038</v>
      </c>
      <c r="H40" s="8">
        <f>'Carga Flex'!H52</f>
        <v>4979</v>
      </c>
      <c r="I40" s="8">
        <f>'Carga Flex'!I52</f>
        <v>9651</v>
      </c>
      <c r="J40" s="8">
        <f>'Carga Flex'!J52</f>
        <v>7941</v>
      </c>
      <c r="K40" s="8">
        <f>'Carga Flex'!K52</f>
        <v>8467</v>
      </c>
      <c r="L40" s="8">
        <f>'Carga Flex'!L52</f>
        <v>0</v>
      </c>
      <c r="M40" s="265">
        <f>'Carga Flex'!M52</f>
        <v>0</v>
      </c>
      <c r="N40" s="5">
        <f t="shared" si="4"/>
        <v>6000</v>
      </c>
      <c r="O40" s="8">
        <f t="shared" si="4"/>
        <v>12000</v>
      </c>
      <c r="P40" s="8"/>
      <c r="Q40" s="8"/>
      <c r="R40" s="265"/>
      <c r="S40" s="5">
        <f>ROUND((J40+K40)*$Y$6/1000,0)*1000</f>
        <v>20000</v>
      </c>
      <c r="T40" s="11"/>
      <c r="U40" s="172"/>
      <c r="V40" s="554"/>
      <c r="W40" s="543"/>
      <c r="X40" s="8">
        <f>V38*365*(1+W38)^($Y$4-$B$5)*((1+W38)^$Y$5-1)/W38*F40/1000</f>
        <v>665.1138499364689</v>
      </c>
      <c r="Y40" s="14">
        <f>IF(X40=0,0,X40/SUM(X38:X41))</f>
        <v>0.44574239163848756</v>
      </c>
    </row>
    <row r="41" spans="1:25" ht="12.75">
      <c r="A41" s="519"/>
      <c r="B41" s="519"/>
      <c r="C41" s="519"/>
      <c r="D41" s="3" t="s">
        <v>25</v>
      </c>
      <c r="E41" s="6">
        <f>'Carga Flex'!E53</f>
        <v>300</v>
      </c>
      <c r="F41" s="15">
        <f>IF(E41=0,0,E41/SUM(E38:E41))</f>
        <v>0.09222256378727328</v>
      </c>
      <c r="G41" s="6">
        <f t="shared" si="1"/>
        <v>36321</v>
      </c>
      <c r="H41" s="9">
        <f>'Carga Flex'!H53</f>
        <v>5740</v>
      </c>
      <c r="I41" s="9">
        <f>'Carga Flex'!I53</f>
        <v>11222</v>
      </c>
      <c r="J41" s="9">
        <f>'Carga Flex'!J53</f>
        <v>9529</v>
      </c>
      <c r="K41" s="9">
        <f>'Carga Flex'!K53</f>
        <v>9830</v>
      </c>
      <c r="L41" s="9">
        <f>'Carga Flex'!L53</f>
        <v>0</v>
      </c>
      <c r="M41" s="266">
        <f>'Carga Flex'!M53</f>
        <v>0</v>
      </c>
      <c r="N41" s="6">
        <f t="shared" si="4"/>
        <v>7000</v>
      </c>
      <c r="O41" s="9">
        <f t="shared" si="4"/>
        <v>13000</v>
      </c>
      <c r="P41" s="9"/>
      <c r="Q41" s="9"/>
      <c r="R41" s="266"/>
      <c r="S41" s="6">
        <f>ROUND((J41+K41)*$Y$6/1000,0)*1000</f>
        <v>23000</v>
      </c>
      <c r="T41" s="12"/>
      <c r="U41" s="173"/>
      <c r="V41" s="555"/>
      <c r="W41" s="544"/>
      <c r="X41" s="9">
        <f>V38*365*(1+W38)^($Y$4-$B$5)*((1+W38)^$Y$5-1)/W38*F41/1000</f>
        <v>137.60976205582114</v>
      </c>
      <c r="Y41" s="15">
        <f>IF(X41=0,0,X41/SUM(X38:X41))</f>
        <v>0.09222256378727327</v>
      </c>
    </row>
    <row r="42" spans="1:25" ht="12.75" hidden="1">
      <c r="A42" s="520">
        <v>14</v>
      </c>
      <c r="B42" s="520" t="s">
        <v>33</v>
      </c>
      <c r="C42" s="520"/>
      <c r="D42" s="22" t="s">
        <v>22</v>
      </c>
      <c r="E42" s="23">
        <f>'Carga Flex'!E54</f>
        <v>0</v>
      </c>
      <c r="F42" s="24">
        <f>IF(E42=0,0,E42/SUM(E42:E45))</f>
        <v>0</v>
      </c>
      <c r="G42" s="23">
        <f t="shared" si="1"/>
        <v>0</v>
      </c>
      <c r="H42" s="25">
        <f>'Carga Flex'!H54</f>
        <v>0</v>
      </c>
      <c r="I42" s="25">
        <f>'Carga Flex'!I54</f>
        <v>0</v>
      </c>
      <c r="J42" s="25">
        <f>'Carga Flex'!J54</f>
        <v>0</v>
      </c>
      <c r="K42" s="25">
        <f>'Carga Flex'!K54</f>
        <v>0</v>
      </c>
      <c r="L42" s="25">
        <f>'Carga Flex'!L54</f>
        <v>0</v>
      </c>
      <c r="M42" s="261">
        <f>'Carga Flex'!M54</f>
        <v>0</v>
      </c>
      <c r="N42" s="23">
        <f aca="true" t="shared" si="5" ref="N42:N73">ROUND(H42*$Y$6/1000,0)*1000</f>
        <v>0</v>
      </c>
      <c r="O42" s="25">
        <f>ROUND(K42*$Y$6/1000,0)*1000</f>
        <v>0</v>
      </c>
      <c r="P42" s="25"/>
      <c r="Q42" s="25"/>
      <c r="R42" s="269"/>
      <c r="S42" s="162">
        <f>ROUND((I42+J42)*$Y$6/1000,0)*1000</f>
        <v>0</v>
      </c>
      <c r="T42" s="163"/>
      <c r="U42" s="164"/>
      <c r="V42" s="550">
        <f>'Pav Flex'!E18</f>
        <v>0</v>
      </c>
      <c r="W42" s="539">
        <f>$Y$3</f>
        <v>0.04</v>
      </c>
      <c r="X42" s="25">
        <f>V42*365*(1+W42)^($Y$4-$B$5)*((1+W42)^$Y$5-1)/W42*F42/1000</f>
        <v>0</v>
      </c>
      <c r="Y42" s="24"/>
    </row>
    <row r="43" spans="1:25" ht="12.75" hidden="1">
      <c r="A43" s="521"/>
      <c r="B43" s="521"/>
      <c r="C43" s="521"/>
      <c r="D43" s="28" t="s">
        <v>23</v>
      </c>
      <c r="E43" s="29">
        <f>'Carga Flex'!E55</f>
        <v>0</v>
      </c>
      <c r="F43" s="30">
        <f>IF(E43=0,0,E43/SUM(E42:E45))</f>
        <v>0</v>
      </c>
      <c r="G43" s="29">
        <f t="shared" si="1"/>
        <v>0</v>
      </c>
      <c r="H43" s="31">
        <f>'Carga Flex'!H55</f>
        <v>0</v>
      </c>
      <c r="I43" s="31">
        <f>'Carga Flex'!I55</f>
        <v>0</v>
      </c>
      <c r="J43" s="31">
        <f>'Carga Flex'!J55</f>
        <v>0</v>
      </c>
      <c r="K43" s="31">
        <f>'Carga Flex'!K55</f>
        <v>0</v>
      </c>
      <c r="L43" s="31">
        <f>'Carga Flex'!L55</f>
        <v>0</v>
      </c>
      <c r="M43" s="262">
        <f>'Carga Flex'!M55</f>
        <v>0</v>
      </c>
      <c r="N43" s="29">
        <f t="shared" si="5"/>
        <v>0</v>
      </c>
      <c r="O43" s="31">
        <f aca="true" t="shared" si="6" ref="O43:O57">ROUND(I43*$Y$6/1000,0)*1000</f>
        <v>0</v>
      </c>
      <c r="P43" s="31"/>
      <c r="Q43" s="31"/>
      <c r="R43" s="270"/>
      <c r="S43" s="165">
        <f>ROUND((I43+J43)*$Y$6/1000,0)*1000</f>
        <v>0</v>
      </c>
      <c r="T43" s="166"/>
      <c r="U43" s="167"/>
      <c r="V43" s="551"/>
      <c r="W43" s="540"/>
      <c r="X43" s="31">
        <f>V42*365*(1+W42)^($Y$4-$B$5)*((1+W42)^$Y$5-1)/W42*F43/1000</f>
        <v>0</v>
      </c>
      <c r="Y43" s="30"/>
    </row>
    <row r="44" spans="1:25" ht="12.75" hidden="1">
      <c r="A44" s="521"/>
      <c r="B44" s="521"/>
      <c r="C44" s="521"/>
      <c r="D44" s="28" t="s">
        <v>24</v>
      </c>
      <c r="E44" s="29">
        <f>'Carga Flex'!E56</f>
        <v>0</v>
      </c>
      <c r="F44" s="30">
        <f>IF(E44=0,0,E44/SUM(E42:E45))</f>
        <v>0</v>
      </c>
      <c r="G44" s="29">
        <f t="shared" si="1"/>
        <v>0</v>
      </c>
      <c r="H44" s="31">
        <f>'Carga Flex'!H56</f>
        <v>0</v>
      </c>
      <c r="I44" s="31">
        <f>'Carga Flex'!I56</f>
        <v>0</v>
      </c>
      <c r="J44" s="31">
        <f>'Carga Flex'!J56</f>
        <v>0</v>
      </c>
      <c r="K44" s="31">
        <f>'Carga Flex'!K56</f>
        <v>0</v>
      </c>
      <c r="L44" s="31">
        <f>'Carga Flex'!L56</f>
        <v>0</v>
      </c>
      <c r="M44" s="262">
        <f>'Carga Flex'!M56</f>
        <v>0</v>
      </c>
      <c r="N44" s="29">
        <f t="shared" si="5"/>
        <v>0</v>
      </c>
      <c r="O44" s="31">
        <f t="shared" si="6"/>
        <v>0</v>
      </c>
      <c r="P44" s="31"/>
      <c r="Q44" s="31"/>
      <c r="R44" s="270"/>
      <c r="S44" s="165">
        <f>ROUND((I44+J44)*$Y$6/1000,0)*1000</f>
        <v>0</v>
      </c>
      <c r="T44" s="166"/>
      <c r="U44" s="167"/>
      <c r="V44" s="551"/>
      <c r="W44" s="540"/>
      <c r="X44" s="31">
        <f>V42*365*(1+W42)^($Y$4-$B$5)*((1+W42)^$Y$5-1)/W42*F44/1000</f>
        <v>0</v>
      </c>
      <c r="Y44" s="30"/>
    </row>
    <row r="45" spans="1:25" ht="12.75" hidden="1">
      <c r="A45" s="522"/>
      <c r="B45" s="522"/>
      <c r="C45" s="522"/>
      <c r="D45" s="34" t="s">
        <v>25</v>
      </c>
      <c r="E45" s="35">
        <f>'Carga Flex'!E57</f>
        <v>0</v>
      </c>
      <c r="F45" s="36">
        <f>IF(E45=0,0,E45/SUM(E42:E45))</f>
        <v>0</v>
      </c>
      <c r="G45" s="35">
        <f t="shared" si="1"/>
        <v>0</v>
      </c>
      <c r="H45" s="37">
        <f>'Carga Flex'!H57</f>
        <v>0</v>
      </c>
      <c r="I45" s="37">
        <f>'Carga Flex'!I57</f>
        <v>0</v>
      </c>
      <c r="J45" s="37">
        <f>'Carga Flex'!J57</f>
        <v>0</v>
      </c>
      <c r="K45" s="37">
        <f>'Carga Flex'!K57</f>
        <v>0</v>
      </c>
      <c r="L45" s="37">
        <f>'Carga Flex'!L57</f>
        <v>0</v>
      </c>
      <c r="M45" s="263">
        <f>'Carga Flex'!M57</f>
        <v>0</v>
      </c>
      <c r="N45" s="35">
        <f t="shared" si="5"/>
        <v>0</v>
      </c>
      <c r="O45" s="37">
        <f t="shared" si="6"/>
        <v>0</v>
      </c>
      <c r="P45" s="37"/>
      <c r="Q45" s="37"/>
      <c r="R45" s="271"/>
      <c r="S45" s="168">
        <f>ROUND((I45+J45)*$Y$6/1000,0)*1000</f>
        <v>0</v>
      </c>
      <c r="T45" s="169"/>
      <c r="U45" s="170"/>
      <c r="V45" s="552"/>
      <c r="W45" s="541"/>
      <c r="X45" s="37">
        <f>V42*365*(1+W42)^($Y$4-$B$5)*((1+W42)^$Y$5-1)/W42*F45/1000</f>
        <v>0</v>
      </c>
      <c r="Y45" s="36"/>
    </row>
    <row r="46" spans="1:25" ht="12.75" hidden="1">
      <c r="A46" s="517">
        <v>15</v>
      </c>
      <c r="B46" s="517" t="s">
        <v>34</v>
      </c>
      <c r="C46" s="517"/>
      <c r="D46" s="1" t="s">
        <v>22</v>
      </c>
      <c r="E46" s="4">
        <f>'Carga Flex'!E58</f>
        <v>0</v>
      </c>
      <c r="F46" s="13">
        <f>IF(E46=0,0,E46/SUM(E46:E49))</f>
        <v>0</v>
      </c>
      <c r="G46" s="4">
        <f t="shared" si="1"/>
        <v>0</v>
      </c>
      <c r="H46" s="7">
        <f>'Carga Flex'!H58</f>
        <v>0</v>
      </c>
      <c r="I46" s="7">
        <f>'Carga Flex'!I58</f>
        <v>0</v>
      </c>
      <c r="J46" s="7">
        <f>'Carga Flex'!J58</f>
        <v>0</v>
      </c>
      <c r="K46" s="7">
        <f>'Carga Flex'!K58</f>
        <v>0</v>
      </c>
      <c r="L46" s="7">
        <f>'Carga Flex'!L58</f>
        <v>0</v>
      </c>
      <c r="M46" s="264">
        <f>'Carga Flex'!M58</f>
        <v>0</v>
      </c>
      <c r="N46" s="4">
        <f t="shared" si="5"/>
        <v>0</v>
      </c>
      <c r="O46" s="7">
        <f t="shared" si="6"/>
        <v>0</v>
      </c>
      <c r="P46" s="7">
        <f aca="true" t="shared" si="7" ref="P46:Q53">ROUND(J46*$Y$6/1000,0)*1000</f>
        <v>0</v>
      </c>
      <c r="Q46" s="7">
        <f t="shared" si="7"/>
        <v>0</v>
      </c>
      <c r="R46" s="264"/>
      <c r="S46" s="4"/>
      <c r="T46" s="10"/>
      <c r="U46" s="171"/>
      <c r="V46" s="553">
        <f>'Pav Flex'!E19</f>
        <v>6</v>
      </c>
      <c r="W46" s="542">
        <f>$Y$3</f>
        <v>0.04</v>
      </c>
      <c r="X46" s="7">
        <f>V46*365*(1+W46)^($Y$4-$B$5)*((1+W46)^$Y$5-1)/W46*F46/1000</f>
        <v>0</v>
      </c>
      <c r="Y46" s="13">
        <f>IF(X46=0,0,X46/SUM(X46:X49))</f>
        <v>0</v>
      </c>
    </row>
    <row r="47" spans="1:25" ht="12.75" hidden="1">
      <c r="A47" s="518"/>
      <c r="B47" s="518"/>
      <c r="C47" s="518"/>
      <c r="D47" s="2" t="s">
        <v>23</v>
      </c>
      <c r="E47" s="5">
        <f>'Carga Flex'!E59</f>
        <v>0</v>
      </c>
      <c r="F47" s="14">
        <f>IF(E47=0,0,E47/SUM(E46:E49))</f>
        <v>0</v>
      </c>
      <c r="G47" s="5">
        <f t="shared" si="1"/>
        <v>0</v>
      </c>
      <c r="H47" s="8">
        <f>'Carga Flex'!H59</f>
        <v>0</v>
      </c>
      <c r="I47" s="8">
        <f>'Carga Flex'!I59</f>
        <v>0</v>
      </c>
      <c r="J47" s="8">
        <f>'Carga Flex'!J59</f>
        <v>0</v>
      </c>
      <c r="K47" s="8">
        <f>'Carga Flex'!K59</f>
        <v>0</v>
      </c>
      <c r="L47" s="8">
        <f>'Carga Flex'!L59</f>
        <v>0</v>
      </c>
      <c r="M47" s="265">
        <f>'Carga Flex'!M59</f>
        <v>0</v>
      </c>
      <c r="N47" s="5">
        <f t="shared" si="5"/>
        <v>0</v>
      </c>
      <c r="O47" s="8">
        <f t="shared" si="6"/>
        <v>0</v>
      </c>
      <c r="P47" s="8">
        <f t="shared" si="7"/>
        <v>0</v>
      </c>
      <c r="Q47" s="8">
        <f t="shared" si="7"/>
        <v>0</v>
      </c>
      <c r="R47" s="265"/>
      <c r="S47" s="5"/>
      <c r="T47" s="11"/>
      <c r="U47" s="172"/>
      <c r="V47" s="554"/>
      <c r="W47" s="543"/>
      <c r="X47" s="8">
        <f>V46*365*(1+W46)^($Y$4-$B$5)*((1+W46)^$Y$5-1)/W46*F47/1000</f>
        <v>0</v>
      </c>
      <c r="Y47" s="14">
        <f>IF(X47=0,0,X47/SUM(X46:X49))</f>
        <v>0</v>
      </c>
    </row>
    <row r="48" spans="1:25" ht="12.75" hidden="1">
      <c r="A48" s="518"/>
      <c r="B48" s="518"/>
      <c r="C48" s="518"/>
      <c r="D48" s="2" t="s">
        <v>24</v>
      </c>
      <c r="E48" s="5">
        <f>'Carga Flex'!E60</f>
        <v>0</v>
      </c>
      <c r="F48" s="14">
        <f>IF(E48=0,0,E48/SUM(E46:E49))</f>
        <v>0</v>
      </c>
      <c r="G48" s="5">
        <f t="shared" si="1"/>
        <v>0</v>
      </c>
      <c r="H48" s="8">
        <f>'Carga Flex'!H60</f>
        <v>0</v>
      </c>
      <c r="I48" s="8">
        <f>'Carga Flex'!I60</f>
        <v>0</v>
      </c>
      <c r="J48" s="8">
        <f>'Carga Flex'!J60</f>
        <v>0</v>
      </c>
      <c r="K48" s="8">
        <f>'Carga Flex'!K60</f>
        <v>0</v>
      </c>
      <c r="L48" s="8">
        <f>'Carga Flex'!L60</f>
        <v>0</v>
      </c>
      <c r="M48" s="265">
        <f>'Carga Flex'!M60</f>
        <v>0</v>
      </c>
      <c r="N48" s="5">
        <f t="shared" si="5"/>
        <v>0</v>
      </c>
      <c r="O48" s="8">
        <f t="shared" si="6"/>
        <v>0</v>
      </c>
      <c r="P48" s="8">
        <f t="shared" si="7"/>
        <v>0</v>
      </c>
      <c r="Q48" s="8">
        <f t="shared" si="7"/>
        <v>0</v>
      </c>
      <c r="R48" s="265"/>
      <c r="S48" s="5"/>
      <c r="T48" s="11"/>
      <c r="U48" s="172"/>
      <c r="V48" s="554"/>
      <c r="W48" s="543"/>
      <c r="X48" s="8">
        <f>V46*365*(1+W46)^($Y$4-$B$5)*((1+W46)^$Y$5-1)/W46*F48/1000</f>
        <v>0</v>
      </c>
      <c r="Y48" s="14">
        <f>IF(X48=0,0,X48/SUM(X46:X49))</f>
        <v>0</v>
      </c>
    </row>
    <row r="49" spans="1:25" ht="12.75" hidden="1">
      <c r="A49" s="519"/>
      <c r="B49" s="519"/>
      <c r="C49" s="519"/>
      <c r="D49" s="3" t="s">
        <v>25</v>
      </c>
      <c r="E49" s="6">
        <f>'Carga Flex'!E61</f>
        <v>0</v>
      </c>
      <c r="F49" s="15">
        <f>IF(E49=0,0,E49/SUM(E46:E49))</f>
        <v>0</v>
      </c>
      <c r="G49" s="6">
        <f t="shared" si="1"/>
        <v>0</v>
      </c>
      <c r="H49" s="9">
        <f>'Carga Flex'!H61</f>
        <v>0</v>
      </c>
      <c r="I49" s="9">
        <f>'Carga Flex'!I61</f>
        <v>0</v>
      </c>
      <c r="J49" s="9">
        <f>'Carga Flex'!J61</f>
        <v>0</v>
      </c>
      <c r="K49" s="9">
        <f>'Carga Flex'!K61</f>
        <v>0</v>
      </c>
      <c r="L49" s="9">
        <f>'Carga Flex'!L61</f>
        <v>0</v>
      </c>
      <c r="M49" s="266">
        <f>'Carga Flex'!M61</f>
        <v>0</v>
      </c>
      <c r="N49" s="6">
        <f t="shared" si="5"/>
        <v>0</v>
      </c>
      <c r="O49" s="9">
        <f t="shared" si="6"/>
        <v>0</v>
      </c>
      <c r="P49" s="9">
        <f t="shared" si="7"/>
        <v>0</v>
      </c>
      <c r="Q49" s="9">
        <f t="shared" si="7"/>
        <v>0</v>
      </c>
      <c r="R49" s="266"/>
      <c r="S49" s="6"/>
      <c r="T49" s="12"/>
      <c r="U49" s="173"/>
      <c r="V49" s="555"/>
      <c r="W49" s="544"/>
      <c r="X49" s="9">
        <f>V46*365*(1+W46)^($Y$4-$B$5)*((1+W46)^$Y$5-1)/W46*F49/1000</f>
        <v>0</v>
      </c>
      <c r="Y49" s="15">
        <f>IF(X49=0,0,X49/SUM(X46:X49))</f>
        <v>0</v>
      </c>
    </row>
    <row r="50" spans="1:25" ht="12.75">
      <c r="A50" s="520">
        <v>16</v>
      </c>
      <c r="B50" s="520" t="s">
        <v>35</v>
      </c>
      <c r="C50" s="520"/>
      <c r="D50" s="22" t="s">
        <v>22</v>
      </c>
      <c r="E50" s="23">
        <f>'Carga Flex'!E70</f>
        <v>215</v>
      </c>
      <c r="F50" s="24">
        <f>IF(E50=0,0,E50/SUM(E50:E53))</f>
        <v>0.18313458262350937</v>
      </c>
      <c r="G50" s="23">
        <f t="shared" si="1"/>
        <v>13734</v>
      </c>
      <c r="H50" s="25">
        <f>'Carga Flex'!H70</f>
        <v>3671</v>
      </c>
      <c r="I50" s="25">
        <f>'Carga Flex'!I70</f>
        <v>4505</v>
      </c>
      <c r="J50" s="25">
        <f>'Carga Flex'!J70</f>
        <v>2965</v>
      </c>
      <c r="K50" s="25">
        <f>'Carga Flex'!K70</f>
        <v>2593</v>
      </c>
      <c r="L50" s="25">
        <f>'Carga Flex'!L70</f>
        <v>0</v>
      </c>
      <c r="M50" s="261">
        <f>'Carga Flex'!M70</f>
        <v>0</v>
      </c>
      <c r="N50" s="23">
        <f t="shared" si="5"/>
        <v>4000</v>
      </c>
      <c r="O50" s="25">
        <f t="shared" si="6"/>
        <v>5000</v>
      </c>
      <c r="P50" s="25">
        <f t="shared" si="7"/>
        <v>4000</v>
      </c>
      <c r="Q50" s="25">
        <f t="shared" si="7"/>
        <v>3000</v>
      </c>
      <c r="R50" s="269"/>
      <c r="S50" s="162"/>
      <c r="T50" s="163"/>
      <c r="U50" s="164"/>
      <c r="V50" s="550">
        <f>'Pav Flex'!E20</f>
        <v>14</v>
      </c>
      <c r="W50" s="539">
        <f>$Y$3</f>
        <v>0.04</v>
      </c>
      <c r="X50" s="25">
        <f>V50*365*(1+W50)^($Y$4-$B$5)*((1+W50)^$Y$5-1)/W50*F50/1000</f>
        <v>112.52046910699424</v>
      </c>
      <c r="Y50" s="24">
        <f>IF(X50=0,0,X50/SUM(X50:X53))</f>
        <v>0.18313458262350937</v>
      </c>
    </row>
    <row r="51" spans="1:25" ht="12.75">
      <c r="A51" s="521"/>
      <c r="B51" s="521"/>
      <c r="C51" s="521"/>
      <c r="D51" s="28" t="s">
        <v>23</v>
      </c>
      <c r="E51" s="29">
        <f>'Carga Flex'!E71</f>
        <v>738</v>
      </c>
      <c r="F51" s="30">
        <f>IF(E51=0,0,E51/SUM(E50:E53))</f>
        <v>0.6286201022146508</v>
      </c>
      <c r="G51" s="29">
        <f t="shared" si="1"/>
        <v>19662</v>
      </c>
      <c r="H51" s="31">
        <f>'Carga Flex'!H71</f>
        <v>4509</v>
      </c>
      <c r="I51" s="31">
        <f>'Carga Flex'!I71</f>
        <v>6325</v>
      </c>
      <c r="J51" s="31">
        <f>'Carga Flex'!J71</f>
        <v>4454</v>
      </c>
      <c r="K51" s="31">
        <f>'Carga Flex'!K71</f>
        <v>4374</v>
      </c>
      <c r="L51" s="31">
        <f>'Carga Flex'!L71</f>
        <v>0</v>
      </c>
      <c r="M51" s="262">
        <f>'Carga Flex'!M71</f>
        <v>0</v>
      </c>
      <c r="N51" s="29">
        <f t="shared" si="5"/>
        <v>5000</v>
      </c>
      <c r="O51" s="31">
        <f t="shared" si="6"/>
        <v>8000</v>
      </c>
      <c r="P51" s="31">
        <f t="shared" si="7"/>
        <v>5000</v>
      </c>
      <c r="Q51" s="31">
        <f t="shared" si="7"/>
        <v>5000</v>
      </c>
      <c r="R51" s="270"/>
      <c r="S51" s="165"/>
      <c r="T51" s="166"/>
      <c r="U51" s="167"/>
      <c r="V51" s="551"/>
      <c r="W51" s="540"/>
      <c r="X51" s="31">
        <f>V50*365*(1+W50)^($Y$4-$B$5)*((1+W50)^$Y$5-1)/W50*F51/1000</f>
        <v>386.2330520974965</v>
      </c>
      <c r="Y51" s="30">
        <f>IF(X51=0,0,X51/SUM(X50:X53))</f>
        <v>0.6286201022146507</v>
      </c>
    </row>
    <row r="52" spans="1:25" ht="12.75">
      <c r="A52" s="521"/>
      <c r="B52" s="521"/>
      <c r="C52" s="521"/>
      <c r="D52" s="28" t="s">
        <v>24</v>
      </c>
      <c r="E52" s="29">
        <f>'Carga Flex'!E72</f>
        <v>188</v>
      </c>
      <c r="F52" s="30">
        <f>IF(E52=0,0,E52/SUM(E50:E53))</f>
        <v>0.16013628620102216</v>
      </c>
      <c r="G52" s="29">
        <f t="shared" si="1"/>
        <v>33756</v>
      </c>
      <c r="H52" s="31">
        <f>'Carga Flex'!H72</f>
        <v>5561</v>
      </c>
      <c r="I52" s="31">
        <f>'Carga Flex'!I72</f>
        <v>9647</v>
      </c>
      <c r="J52" s="31">
        <f>'Carga Flex'!J72</f>
        <v>9630</v>
      </c>
      <c r="K52" s="31">
        <f>'Carga Flex'!K72</f>
        <v>8918</v>
      </c>
      <c r="L52" s="31">
        <f>'Carga Flex'!L72</f>
        <v>0</v>
      </c>
      <c r="M52" s="262">
        <f>'Carga Flex'!M72</f>
        <v>0</v>
      </c>
      <c r="N52" s="29">
        <f t="shared" si="5"/>
        <v>7000</v>
      </c>
      <c r="O52" s="31">
        <f t="shared" si="6"/>
        <v>12000</v>
      </c>
      <c r="P52" s="31">
        <f t="shared" si="7"/>
        <v>12000</v>
      </c>
      <c r="Q52" s="31">
        <f t="shared" si="7"/>
        <v>11000</v>
      </c>
      <c r="R52" s="270"/>
      <c r="S52" s="165"/>
      <c r="T52" s="166"/>
      <c r="U52" s="167"/>
      <c r="V52" s="551"/>
      <c r="W52" s="540"/>
      <c r="X52" s="31">
        <f>V50*365*(1+W50)^($Y$4-$B$5)*((1+W50)^$Y$5-1)/W50*F52/1000</f>
        <v>98.38999159123217</v>
      </c>
      <c r="Y52" s="30">
        <f>IF(X52=0,0,X52/SUM(X50:X53))</f>
        <v>0.16013628620102213</v>
      </c>
    </row>
    <row r="53" spans="1:25" ht="12.75">
      <c r="A53" s="522"/>
      <c r="B53" s="522"/>
      <c r="C53" s="522"/>
      <c r="D53" s="34" t="s">
        <v>25</v>
      </c>
      <c r="E53" s="35">
        <f>'Carga Flex'!E73</f>
        <v>33</v>
      </c>
      <c r="F53" s="36">
        <f>IF(E53=0,0,E53/SUM(E50:E53))</f>
        <v>0.028109028960817718</v>
      </c>
      <c r="G53" s="35">
        <f t="shared" si="1"/>
        <v>38990</v>
      </c>
      <c r="H53" s="37">
        <f>'Carga Flex'!H73</f>
        <v>6091</v>
      </c>
      <c r="I53" s="37">
        <f>'Carga Flex'!I73</f>
        <v>11333</v>
      </c>
      <c r="J53" s="37">
        <f>'Carga Flex'!J73</f>
        <v>11227</v>
      </c>
      <c r="K53" s="37">
        <f>'Carga Flex'!K73</f>
        <v>10339</v>
      </c>
      <c r="L53" s="37">
        <f>'Carga Flex'!L73</f>
        <v>0</v>
      </c>
      <c r="M53" s="263">
        <f>'Carga Flex'!M73</f>
        <v>0</v>
      </c>
      <c r="N53" s="35">
        <f t="shared" si="5"/>
        <v>7000</v>
      </c>
      <c r="O53" s="37">
        <f t="shared" si="6"/>
        <v>14000</v>
      </c>
      <c r="P53" s="37">
        <f t="shared" si="7"/>
        <v>13000</v>
      </c>
      <c r="Q53" s="37">
        <f t="shared" si="7"/>
        <v>12000</v>
      </c>
      <c r="R53" s="271"/>
      <c r="S53" s="168"/>
      <c r="T53" s="169"/>
      <c r="U53" s="170"/>
      <c r="V53" s="552"/>
      <c r="W53" s="541"/>
      <c r="X53" s="37">
        <f>V50*365*(1+W50)^($Y$4-$B$5)*((1+W50)^$Y$5-1)/W50*F53/1000</f>
        <v>17.27058363037586</v>
      </c>
      <c r="Y53" s="36">
        <f>IF(X53=0,0,X53/SUM(X50:X53))</f>
        <v>0.028109028960817715</v>
      </c>
    </row>
    <row r="54" spans="1:25" ht="12.75">
      <c r="A54" s="517">
        <v>17</v>
      </c>
      <c r="B54" s="517" t="s">
        <v>36</v>
      </c>
      <c r="C54" s="517"/>
      <c r="D54" s="1" t="s">
        <v>22</v>
      </c>
      <c r="E54" s="4">
        <f>'Carga Flex'!E74</f>
        <v>42</v>
      </c>
      <c r="F54" s="13">
        <f>IF(E54=0,0,E54/SUM(E54:E57))</f>
        <v>0.043795620437956206</v>
      </c>
      <c r="G54" s="4">
        <f t="shared" si="1"/>
        <v>13989</v>
      </c>
      <c r="H54" s="7">
        <f>'Carga Flex'!H74</f>
        <v>3386</v>
      </c>
      <c r="I54" s="7">
        <f>'Carga Flex'!I74</f>
        <v>4733</v>
      </c>
      <c r="J54" s="7">
        <f>'Carga Flex'!J74</f>
        <v>1505</v>
      </c>
      <c r="K54" s="7">
        <f>'Carga Flex'!K74</f>
        <v>2117</v>
      </c>
      <c r="L54" s="7">
        <f>'Carga Flex'!L74</f>
        <v>2248</v>
      </c>
      <c r="M54" s="264">
        <f>'Carga Flex'!M74</f>
        <v>0</v>
      </c>
      <c r="N54" s="4">
        <f t="shared" si="5"/>
        <v>4000</v>
      </c>
      <c r="O54" s="7">
        <f t="shared" si="6"/>
        <v>6000</v>
      </c>
      <c r="P54" s="7"/>
      <c r="Q54" s="7"/>
      <c r="R54" s="264"/>
      <c r="S54" s="4"/>
      <c r="T54" s="10"/>
      <c r="U54" s="171">
        <f>ROUND((J54+K54+L54)*$Y$6/1000,0)*1000</f>
        <v>7000</v>
      </c>
      <c r="V54" s="553">
        <f>'Pav Flex'!E21</f>
        <v>11</v>
      </c>
      <c r="W54" s="542">
        <f>$Y$3</f>
        <v>0.04</v>
      </c>
      <c r="X54" s="7">
        <f>V54*365*(1+W54)^($Y$4-$B$5)*((1+W54)^$Y$5-1)/W54*F54/1000</f>
        <v>21.142508010491408</v>
      </c>
      <c r="Y54" s="13">
        <f>IF(X54=0,0,X54/SUM(X54:X57))</f>
        <v>0.043795620437956206</v>
      </c>
    </row>
    <row r="55" spans="1:25" ht="12.75">
      <c r="A55" s="518"/>
      <c r="B55" s="518"/>
      <c r="C55" s="518"/>
      <c r="D55" s="2" t="s">
        <v>23</v>
      </c>
      <c r="E55" s="5">
        <f>'Carga Flex'!E75</f>
        <v>443</v>
      </c>
      <c r="F55" s="14">
        <f>IF(E55=0,0,E55/SUM(E54:E57))</f>
        <v>0.4619395203336809</v>
      </c>
      <c r="G55" s="5">
        <f t="shared" si="1"/>
        <v>21941</v>
      </c>
      <c r="H55" s="8">
        <f>'Carga Flex'!H75</f>
        <v>4495</v>
      </c>
      <c r="I55" s="8">
        <f>'Carga Flex'!I75</f>
        <v>6501</v>
      </c>
      <c r="J55" s="8">
        <f>'Carga Flex'!J75</f>
        <v>3183</v>
      </c>
      <c r="K55" s="8">
        <f>'Carga Flex'!K75</f>
        <v>3893</v>
      </c>
      <c r="L55" s="8">
        <f>'Carga Flex'!L75</f>
        <v>3869</v>
      </c>
      <c r="M55" s="265">
        <f>'Carga Flex'!M75</f>
        <v>0</v>
      </c>
      <c r="N55" s="5">
        <f t="shared" si="5"/>
        <v>5000</v>
      </c>
      <c r="O55" s="8">
        <f t="shared" si="6"/>
        <v>8000</v>
      </c>
      <c r="P55" s="8"/>
      <c r="Q55" s="8"/>
      <c r="R55" s="265"/>
      <c r="S55" s="5"/>
      <c r="T55" s="11"/>
      <c r="U55" s="172">
        <f>ROUND((J55+K55+L55)*$Y$6/1000,0)*1000</f>
        <v>13000</v>
      </c>
      <c r="V55" s="554"/>
      <c r="W55" s="543"/>
      <c r="X55" s="8">
        <f>V54*365*(1+W54)^($Y$4-$B$5)*((1+W54)^$Y$5-1)/W54*F55/1000</f>
        <v>223.00312020589743</v>
      </c>
      <c r="Y55" s="14">
        <f>IF(X55=0,0,X55/SUM(X54:X57))</f>
        <v>0.4619395203336809</v>
      </c>
    </row>
    <row r="56" spans="1:25" ht="12.75">
      <c r="A56" s="518"/>
      <c r="B56" s="518"/>
      <c r="C56" s="518"/>
      <c r="D56" s="2" t="s">
        <v>24</v>
      </c>
      <c r="E56" s="5">
        <f>'Carga Flex'!E76</f>
        <v>304</v>
      </c>
      <c r="F56" s="14">
        <f>IF(E56=0,0,E56/SUM(E54:E57))</f>
        <v>0.3169968717413973</v>
      </c>
      <c r="G56" s="5">
        <f t="shared" si="1"/>
        <v>34076</v>
      </c>
      <c r="H56" s="8">
        <f>'Carga Flex'!H76</f>
        <v>4911</v>
      </c>
      <c r="I56" s="8">
        <f>'Carga Flex'!I76</f>
        <v>9000</v>
      </c>
      <c r="J56" s="8">
        <f>'Carga Flex'!J76</f>
        <v>6225</v>
      </c>
      <c r="K56" s="8">
        <f>'Carga Flex'!K76</f>
        <v>6908</v>
      </c>
      <c r="L56" s="8">
        <f>'Carga Flex'!L76</f>
        <v>7032</v>
      </c>
      <c r="M56" s="265">
        <f>'Carga Flex'!M76</f>
        <v>0</v>
      </c>
      <c r="N56" s="5">
        <f t="shared" si="5"/>
        <v>6000</v>
      </c>
      <c r="O56" s="8">
        <f t="shared" si="6"/>
        <v>11000</v>
      </c>
      <c r="P56" s="8"/>
      <c r="Q56" s="8"/>
      <c r="R56" s="265"/>
      <c r="S56" s="5"/>
      <c r="T56" s="11"/>
      <c r="U56" s="172">
        <f>ROUND((J56+K56+L56)*$Y$6/1000,0)*1000</f>
        <v>24000</v>
      </c>
      <c r="V56" s="554"/>
      <c r="W56" s="543"/>
      <c r="X56" s="8">
        <f>V54*365*(1+W54)^($Y$4-$B$5)*((1+W54)^$Y$5-1)/W54*F56/1000</f>
        <v>153.03148655212829</v>
      </c>
      <c r="Y56" s="14">
        <f>IF(X56=0,0,X56/SUM(X54:X57))</f>
        <v>0.31699687174139735</v>
      </c>
    </row>
    <row r="57" spans="1:25" ht="12.75">
      <c r="A57" s="519"/>
      <c r="B57" s="519"/>
      <c r="C57" s="519"/>
      <c r="D57" s="3" t="s">
        <v>25</v>
      </c>
      <c r="E57" s="6">
        <f>'Carga Flex'!E77</f>
        <v>170</v>
      </c>
      <c r="F57" s="15">
        <f>IF(E57=0,0,E57/SUM(E54:E57))</f>
        <v>0.1772679874869656</v>
      </c>
      <c r="G57" s="6">
        <f t="shared" si="1"/>
        <v>42153</v>
      </c>
      <c r="H57" s="9">
        <f>'Carga Flex'!H77</f>
        <v>5480</v>
      </c>
      <c r="I57" s="9">
        <f>'Carga Flex'!I77</f>
        <v>10606</v>
      </c>
      <c r="J57" s="9">
        <f>'Carga Flex'!J77</f>
        <v>8620</v>
      </c>
      <c r="K57" s="9">
        <f>'Carga Flex'!K77</f>
        <v>8846</v>
      </c>
      <c r="L57" s="9">
        <f>'Carga Flex'!L77</f>
        <v>8601</v>
      </c>
      <c r="M57" s="266">
        <f>'Carga Flex'!M77</f>
        <v>0</v>
      </c>
      <c r="N57" s="6">
        <f t="shared" si="5"/>
        <v>7000</v>
      </c>
      <c r="O57" s="9">
        <f t="shared" si="6"/>
        <v>13000</v>
      </c>
      <c r="P57" s="9"/>
      <c r="Q57" s="9"/>
      <c r="R57" s="266"/>
      <c r="S57" s="6"/>
      <c r="T57" s="12"/>
      <c r="U57" s="173">
        <f>ROUND((J57+K57+L57)*$Y$6/1000,0)*1000</f>
        <v>31000</v>
      </c>
      <c r="V57" s="555"/>
      <c r="W57" s="544"/>
      <c r="X57" s="9">
        <f>V54*365*(1+W54)^($Y$4-$B$5)*((1+W54)^$Y$5-1)/W54*F57/1000</f>
        <v>85.57681813770331</v>
      </c>
      <c r="Y57" s="15">
        <f>IF(X57=0,0,X57/SUM(X54:X57))</f>
        <v>0.1772679874869656</v>
      </c>
    </row>
    <row r="58" spans="1:25" ht="12.75">
      <c r="A58" s="520">
        <v>18</v>
      </c>
      <c r="B58" s="520" t="s">
        <v>37</v>
      </c>
      <c r="C58" s="520"/>
      <c r="D58" s="22" t="s">
        <v>22</v>
      </c>
      <c r="E58" s="23">
        <f>'Carga Flex'!E110</f>
        <v>0</v>
      </c>
      <c r="F58" s="24">
        <f>IF(E58=0,0,E58/SUM(E58:E61))</f>
        <v>0</v>
      </c>
      <c r="G58" s="23">
        <f t="shared" si="1"/>
        <v>0</v>
      </c>
      <c r="H58" s="25">
        <f>'Carga Flex'!H110</f>
        <v>0</v>
      </c>
      <c r="I58" s="25">
        <f>'Carga Flex'!I110</f>
        <v>0</v>
      </c>
      <c r="J58" s="25">
        <f>'Carga Flex'!J110</f>
        <v>0</v>
      </c>
      <c r="K58" s="25">
        <f>'Carga Flex'!K110</f>
        <v>0</v>
      </c>
      <c r="L58" s="25">
        <f>'Carga Flex'!L110</f>
        <v>0</v>
      </c>
      <c r="M58" s="261">
        <f>'Carga Flex'!M110</f>
        <v>0</v>
      </c>
      <c r="N58" s="23">
        <f t="shared" si="5"/>
        <v>0</v>
      </c>
      <c r="O58" s="25"/>
      <c r="P58" s="25"/>
      <c r="Q58" s="25"/>
      <c r="R58" s="269"/>
      <c r="S58" s="162">
        <f>ROUND((I58+J58)*$Y$6/1000,0)*1000</f>
        <v>0</v>
      </c>
      <c r="T58" s="163">
        <f>ROUND((K58+L58)*$Y$6/1000,0)*1000</f>
        <v>0</v>
      </c>
      <c r="U58" s="164"/>
      <c r="V58" s="550">
        <f>'Pav Flex'!E22</f>
        <v>14</v>
      </c>
      <c r="W58" s="539">
        <f>$Y$3</f>
        <v>0.04</v>
      </c>
      <c r="X58" s="25">
        <f>V58*365*(1+W58)^($Y$4-$B$5)*((1+W58)^$Y$5-1)/W58*F58/1000</f>
        <v>0</v>
      </c>
      <c r="Y58" s="24">
        <f>IF(X58=0,0,X58/SUM(X58:X61))</f>
        <v>0</v>
      </c>
    </row>
    <row r="59" spans="1:25" ht="12.75">
      <c r="A59" s="521"/>
      <c r="B59" s="521"/>
      <c r="C59" s="521"/>
      <c r="D59" s="28" t="s">
        <v>23</v>
      </c>
      <c r="E59" s="29">
        <f>'Carga Flex'!E111</f>
        <v>0</v>
      </c>
      <c r="F59" s="30">
        <f>IF(E59=0,0,E59/SUM(E58:E61))</f>
        <v>0</v>
      </c>
      <c r="G59" s="29">
        <f t="shared" si="1"/>
        <v>0</v>
      </c>
      <c r="H59" s="31">
        <f>'Carga Flex'!H111</f>
        <v>0</v>
      </c>
      <c r="I59" s="31">
        <f>'Carga Flex'!I111</f>
        <v>0</v>
      </c>
      <c r="J59" s="31">
        <f>'Carga Flex'!J111</f>
        <v>0</v>
      </c>
      <c r="K59" s="31">
        <f>'Carga Flex'!K111</f>
        <v>0</v>
      </c>
      <c r="L59" s="31">
        <f>'Carga Flex'!L111</f>
        <v>0</v>
      </c>
      <c r="M59" s="262">
        <f>'Carga Flex'!M111</f>
        <v>0</v>
      </c>
      <c r="N59" s="29">
        <f t="shared" si="5"/>
        <v>0</v>
      </c>
      <c r="O59" s="31"/>
      <c r="P59" s="31"/>
      <c r="Q59" s="31"/>
      <c r="R59" s="270"/>
      <c r="S59" s="165">
        <f>ROUND((I59+J59)*$Y$6/1000,0)*1000</f>
        <v>0</v>
      </c>
      <c r="T59" s="166">
        <f>ROUND((K59+L59)*$Y$6/1000,0)*1000</f>
        <v>0</v>
      </c>
      <c r="U59" s="167"/>
      <c r="V59" s="551"/>
      <c r="W59" s="540"/>
      <c r="X59" s="31">
        <f>V58*365*(1+W58)^($Y$4-$B$5)*((1+W58)^$Y$5-1)/W58*F59/1000</f>
        <v>0</v>
      </c>
      <c r="Y59" s="30">
        <f>IF(X59=0,0,X59/SUM(X58:X61))</f>
        <v>0</v>
      </c>
    </row>
    <row r="60" spans="1:25" ht="12.75">
      <c r="A60" s="521"/>
      <c r="B60" s="521"/>
      <c r="C60" s="521"/>
      <c r="D60" s="28" t="s">
        <v>24</v>
      </c>
      <c r="E60" s="29">
        <f>'Carga Flex'!E112</f>
        <v>0</v>
      </c>
      <c r="F60" s="30">
        <f>IF(E60=0,0,E60/SUM(E58:E61))</f>
        <v>0</v>
      </c>
      <c r="G60" s="29">
        <f t="shared" si="1"/>
        <v>0</v>
      </c>
      <c r="H60" s="31">
        <f>'Carga Flex'!H112</f>
        <v>0</v>
      </c>
      <c r="I60" s="31">
        <f>'Carga Flex'!I112</f>
        <v>0</v>
      </c>
      <c r="J60" s="31">
        <f>'Carga Flex'!J112</f>
        <v>0</v>
      </c>
      <c r="K60" s="31">
        <f>'Carga Flex'!K112</f>
        <v>0</v>
      </c>
      <c r="L60" s="31">
        <f>'Carga Flex'!L112</f>
        <v>0</v>
      </c>
      <c r="M60" s="262">
        <f>'Carga Flex'!M112</f>
        <v>0</v>
      </c>
      <c r="N60" s="29">
        <f t="shared" si="5"/>
        <v>0</v>
      </c>
      <c r="O60" s="31"/>
      <c r="P60" s="31"/>
      <c r="Q60" s="31"/>
      <c r="R60" s="270"/>
      <c r="S60" s="165">
        <f>ROUND((I60+J60)*$Y$6/1000,0)*1000</f>
        <v>0</v>
      </c>
      <c r="T60" s="166">
        <f>ROUND((K60+L60)*$Y$6/1000,0)*1000</f>
        <v>0</v>
      </c>
      <c r="U60" s="167"/>
      <c r="V60" s="551"/>
      <c r="W60" s="540"/>
      <c r="X60" s="31">
        <f>V58*365*(1+W58)^($Y$4-$B$5)*((1+W58)^$Y$5-1)/W58*F60/1000</f>
        <v>0</v>
      </c>
      <c r="Y60" s="30">
        <f>IF(X60=0,0,X60/SUM(X58:X61))</f>
        <v>0</v>
      </c>
    </row>
    <row r="61" spans="1:25" ht="12.75">
      <c r="A61" s="522"/>
      <c r="B61" s="522"/>
      <c r="C61" s="522"/>
      <c r="D61" s="34" t="s">
        <v>25</v>
      </c>
      <c r="E61" s="35">
        <f>'Carga Flex'!E113</f>
        <v>0</v>
      </c>
      <c r="F61" s="36">
        <f>IF(E61=0,0,E61/SUM(E58:E61))</f>
        <v>0</v>
      </c>
      <c r="G61" s="35">
        <f t="shared" si="1"/>
        <v>0</v>
      </c>
      <c r="H61" s="37">
        <f>'Carga Flex'!H113</f>
        <v>0</v>
      </c>
      <c r="I61" s="37">
        <f>'Carga Flex'!I113</f>
        <v>0</v>
      </c>
      <c r="J61" s="37">
        <f>'Carga Flex'!J113</f>
        <v>0</v>
      </c>
      <c r="K61" s="37">
        <f>'Carga Flex'!K113</f>
        <v>0</v>
      </c>
      <c r="L61" s="37">
        <f>'Carga Flex'!L113</f>
        <v>0</v>
      </c>
      <c r="M61" s="263">
        <f>'Carga Flex'!M113</f>
        <v>0</v>
      </c>
      <c r="N61" s="35">
        <f t="shared" si="5"/>
        <v>0</v>
      </c>
      <c r="O61" s="37"/>
      <c r="P61" s="37"/>
      <c r="Q61" s="37"/>
      <c r="R61" s="271"/>
      <c r="S61" s="168">
        <f>ROUND((I61+J61)*$Y$6/1000,0)*1000</f>
        <v>0</v>
      </c>
      <c r="T61" s="169">
        <f>ROUND((K61+L61)*$Y$6/1000,0)*1000</f>
        <v>0</v>
      </c>
      <c r="U61" s="170"/>
      <c r="V61" s="552"/>
      <c r="W61" s="541"/>
      <c r="X61" s="37">
        <f>V58*365*(1+W58)^($Y$4-$B$5)*((1+W58)^$Y$5-1)/W58*F61/1000</f>
        <v>0</v>
      </c>
      <c r="Y61" s="36">
        <f>IF(X61=0,0,X61/SUM(X58:X61))</f>
        <v>0</v>
      </c>
    </row>
    <row r="62" spans="1:25" ht="12.75" hidden="1">
      <c r="A62" s="517">
        <v>19</v>
      </c>
      <c r="B62" s="517" t="s">
        <v>38</v>
      </c>
      <c r="C62" s="517"/>
      <c r="D62" s="1" t="s">
        <v>22</v>
      </c>
      <c r="E62" s="4">
        <f>'Carga Flex'!E114</f>
        <v>0</v>
      </c>
      <c r="F62" s="13">
        <f>IF(E62=0,0,E62/SUM(E62:E65))</f>
        <v>0</v>
      </c>
      <c r="G62" s="4">
        <f t="shared" si="1"/>
        <v>0</v>
      </c>
      <c r="H62" s="7">
        <f>'Carga Flex'!H114</f>
        <v>0</v>
      </c>
      <c r="I62" s="7">
        <f>'Carga Flex'!I114</f>
        <v>0</v>
      </c>
      <c r="J62" s="7">
        <f>'Carga Flex'!J114</f>
        <v>0</v>
      </c>
      <c r="K62" s="7">
        <f>'Carga Flex'!K114</f>
        <v>0</v>
      </c>
      <c r="L62" s="7">
        <f>'Carga Flex'!L114</f>
        <v>0</v>
      </c>
      <c r="M62" s="264">
        <f>'Carga Flex'!M114</f>
        <v>0</v>
      </c>
      <c r="N62" s="4">
        <f t="shared" si="5"/>
        <v>0</v>
      </c>
      <c r="O62" s="7">
        <f aca="true" t="shared" si="8" ref="O62:P65">ROUND(I62*$Y$6/1000,0)*1000</f>
        <v>0</v>
      </c>
      <c r="P62" s="7">
        <f t="shared" si="8"/>
        <v>0</v>
      </c>
      <c r="Q62" s="7"/>
      <c r="R62" s="264"/>
      <c r="S62" s="4">
        <f>ROUND((K62+L62)*$Y$6/1000,0)*1000</f>
        <v>0</v>
      </c>
      <c r="T62" s="10"/>
      <c r="U62" s="171"/>
      <c r="V62" s="553">
        <f>'Pav Flex'!E23</f>
        <v>4</v>
      </c>
      <c r="W62" s="542">
        <f>$Y$3</f>
        <v>0.04</v>
      </c>
      <c r="X62" s="7">
        <f>V62*365*(1+W62)^($Y$4-$B$5)*((1+W62)^$Y$5-1)/W62*F62/1000</f>
        <v>0</v>
      </c>
      <c r="Y62" s="13">
        <f>IF(X62=0,0,X62/SUM(X62:X65))</f>
        <v>0</v>
      </c>
    </row>
    <row r="63" spans="1:25" ht="12.75" hidden="1">
      <c r="A63" s="518"/>
      <c r="B63" s="518"/>
      <c r="C63" s="518"/>
      <c r="D63" s="2" t="s">
        <v>23</v>
      </c>
      <c r="E63" s="5">
        <f>'Carga Flex'!E115</f>
        <v>0</v>
      </c>
      <c r="F63" s="14">
        <f>IF(E63=0,0,E63/SUM(E62:E65))</f>
        <v>0</v>
      </c>
      <c r="G63" s="5">
        <f t="shared" si="1"/>
        <v>0</v>
      </c>
      <c r="H63" s="8">
        <f>'Carga Flex'!H115</f>
        <v>0</v>
      </c>
      <c r="I63" s="8">
        <f>'Carga Flex'!I115</f>
        <v>0</v>
      </c>
      <c r="J63" s="8">
        <f>'Carga Flex'!J115</f>
        <v>0</v>
      </c>
      <c r="K63" s="8">
        <f>'Carga Flex'!K115</f>
        <v>0</v>
      </c>
      <c r="L63" s="8">
        <f>'Carga Flex'!L115</f>
        <v>0</v>
      </c>
      <c r="M63" s="265">
        <f>'Carga Flex'!M115</f>
        <v>0</v>
      </c>
      <c r="N63" s="5">
        <f t="shared" si="5"/>
        <v>0</v>
      </c>
      <c r="O63" s="8">
        <f t="shared" si="8"/>
        <v>0</v>
      </c>
      <c r="P63" s="8">
        <f t="shared" si="8"/>
        <v>0</v>
      </c>
      <c r="Q63" s="8"/>
      <c r="R63" s="265"/>
      <c r="S63" s="5">
        <f>ROUND((K63+L63)*$Y$6/1000,0)*1000</f>
        <v>0</v>
      </c>
      <c r="T63" s="11"/>
      <c r="U63" s="172"/>
      <c r="V63" s="554"/>
      <c r="W63" s="543"/>
      <c r="X63" s="8">
        <f>V62*365*(1+W62)^($Y$4-$B$5)*((1+W62)^$Y$5-1)/W62*F63/1000</f>
        <v>0</v>
      </c>
      <c r="Y63" s="14">
        <f>IF(X63=0,0,X63/SUM(X62:X65))</f>
        <v>0</v>
      </c>
    </row>
    <row r="64" spans="1:25" ht="12.75" hidden="1">
      <c r="A64" s="518"/>
      <c r="B64" s="518"/>
      <c r="C64" s="518"/>
      <c r="D64" s="2" t="s">
        <v>24</v>
      </c>
      <c r="E64" s="5">
        <f>'Carga Flex'!E116</f>
        <v>0</v>
      </c>
      <c r="F64" s="14">
        <f>IF(E64=0,0,E64/SUM(E62:E65))</f>
        <v>0</v>
      </c>
      <c r="G64" s="5">
        <f t="shared" si="1"/>
        <v>0</v>
      </c>
      <c r="H64" s="8">
        <f>'Carga Flex'!H116</f>
        <v>0</v>
      </c>
      <c r="I64" s="8">
        <f>'Carga Flex'!I116</f>
        <v>0</v>
      </c>
      <c r="J64" s="8">
        <f>'Carga Flex'!J116</f>
        <v>0</v>
      </c>
      <c r="K64" s="8">
        <f>'Carga Flex'!K116</f>
        <v>0</v>
      </c>
      <c r="L64" s="8">
        <f>'Carga Flex'!L116</f>
        <v>0</v>
      </c>
      <c r="M64" s="265">
        <f>'Carga Flex'!M116</f>
        <v>0</v>
      </c>
      <c r="N64" s="5">
        <f t="shared" si="5"/>
        <v>0</v>
      </c>
      <c r="O64" s="8">
        <f t="shared" si="8"/>
        <v>0</v>
      </c>
      <c r="P64" s="8">
        <f t="shared" si="8"/>
        <v>0</v>
      </c>
      <c r="Q64" s="8"/>
      <c r="R64" s="265"/>
      <c r="S64" s="5">
        <f>ROUND((K64+L64)*$Y$6/1000,0)*1000</f>
        <v>0</v>
      </c>
      <c r="T64" s="11"/>
      <c r="U64" s="172"/>
      <c r="V64" s="554"/>
      <c r="W64" s="543"/>
      <c r="X64" s="8">
        <f>V62*365*(1+W62)^($Y$4-$B$5)*((1+W62)^$Y$5-1)/W62*F64/1000</f>
        <v>0</v>
      </c>
      <c r="Y64" s="14">
        <f>IF(X64=0,0,X64/SUM(X62:X65))</f>
        <v>0</v>
      </c>
    </row>
    <row r="65" spans="1:25" ht="12.75" hidden="1">
      <c r="A65" s="519"/>
      <c r="B65" s="519"/>
      <c r="C65" s="519"/>
      <c r="D65" s="3" t="s">
        <v>25</v>
      </c>
      <c r="E65" s="6">
        <f>'Carga Flex'!E117</f>
        <v>0</v>
      </c>
      <c r="F65" s="15">
        <f>IF(E65=0,0,E65/SUM(E62:E65))</f>
        <v>0</v>
      </c>
      <c r="G65" s="6">
        <f t="shared" si="1"/>
        <v>0</v>
      </c>
      <c r="H65" s="9">
        <f>'Carga Flex'!H117</f>
        <v>0</v>
      </c>
      <c r="I65" s="9">
        <f>'Carga Flex'!I117</f>
        <v>0</v>
      </c>
      <c r="J65" s="9">
        <f>'Carga Flex'!J117</f>
        <v>0</v>
      </c>
      <c r="K65" s="9">
        <f>'Carga Flex'!K117</f>
        <v>0</v>
      </c>
      <c r="L65" s="9">
        <f>'Carga Flex'!L117</f>
        <v>0</v>
      </c>
      <c r="M65" s="266">
        <f>'Carga Flex'!M117</f>
        <v>0</v>
      </c>
      <c r="N65" s="6">
        <f t="shared" si="5"/>
        <v>0</v>
      </c>
      <c r="O65" s="9">
        <f t="shared" si="8"/>
        <v>0</v>
      </c>
      <c r="P65" s="9">
        <f t="shared" si="8"/>
        <v>0</v>
      </c>
      <c r="Q65" s="9"/>
      <c r="R65" s="266"/>
      <c r="S65" s="6">
        <f>ROUND((K65+L65)*$Y$6/1000,0)*1000</f>
        <v>0</v>
      </c>
      <c r="T65" s="12"/>
      <c r="U65" s="173"/>
      <c r="V65" s="555"/>
      <c r="W65" s="544"/>
      <c r="X65" s="9">
        <f>V62*365*(1+W62)^($Y$4-$B$5)*((1+W62)^$Y$5-1)/W62*F65/1000</f>
        <v>0</v>
      </c>
      <c r="Y65" s="15">
        <f>IF(X65=0,0,X65/SUM(X62:X65))</f>
        <v>0</v>
      </c>
    </row>
    <row r="66" spans="1:25" ht="12.75" hidden="1">
      <c r="A66" s="520">
        <v>20</v>
      </c>
      <c r="B66" s="520" t="s">
        <v>39</v>
      </c>
      <c r="C66" s="520"/>
      <c r="D66" s="22" t="s">
        <v>22</v>
      </c>
      <c r="E66" s="23">
        <f>'Carga Flex'!E118</f>
        <v>0</v>
      </c>
      <c r="F66" s="24">
        <f>IF(E66=0,0,E66/SUM(E66:E69))</f>
        <v>0</v>
      </c>
      <c r="G66" s="23">
        <f t="shared" si="1"/>
        <v>0</v>
      </c>
      <c r="H66" s="25">
        <f>'Carga Flex'!H118</f>
        <v>0</v>
      </c>
      <c r="I66" s="25">
        <f>'Carga Flex'!I118</f>
        <v>0</v>
      </c>
      <c r="J66" s="25">
        <f>'Carga Flex'!J118</f>
        <v>0</v>
      </c>
      <c r="K66" s="25">
        <f>'Carga Flex'!K118</f>
        <v>0</v>
      </c>
      <c r="L66" s="25">
        <f>'Carga Flex'!L118</f>
        <v>0</v>
      </c>
      <c r="M66" s="261">
        <f>'Carga Flex'!M118</f>
        <v>0</v>
      </c>
      <c r="N66" s="23">
        <f t="shared" si="5"/>
        <v>0</v>
      </c>
      <c r="O66" s="25">
        <f aca="true" t="shared" si="9" ref="O66:P69">ROUND(K66*$Y$6/1000,0)*1000</f>
        <v>0</v>
      </c>
      <c r="P66" s="25">
        <f t="shared" si="9"/>
        <v>0</v>
      </c>
      <c r="Q66" s="25"/>
      <c r="R66" s="269"/>
      <c r="S66" s="162">
        <f aca="true" t="shared" si="10" ref="S66:S73">ROUND((I66+J66)*$Y$6/1000,0)*1000</f>
        <v>0</v>
      </c>
      <c r="T66" s="163"/>
      <c r="U66" s="164"/>
      <c r="V66" s="550">
        <f>'Pav Flex'!E24</f>
        <v>18</v>
      </c>
      <c r="W66" s="539">
        <f>$Y$3</f>
        <v>0.04</v>
      </c>
      <c r="X66" s="25">
        <f>V66*365*(1+W66)^($Y$4-$B$5)*((1+W66)^$Y$5-1)/W66*F66/1000</f>
        <v>0</v>
      </c>
      <c r="Y66" s="24">
        <f>IF(X66=0,0,X66/SUM(X66:X69))</f>
        <v>0</v>
      </c>
    </row>
    <row r="67" spans="1:25" ht="12.75" hidden="1">
      <c r="A67" s="521"/>
      <c r="B67" s="521"/>
      <c r="C67" s="521"/>
      <c r="D67" s="28" t="s">
        <v>23</v>
      </c>
      <c r="E67" s="29">
        <f>'Carga Flex'!E119</f>
        <v>0</v>
      </c>
      <c r="F67" s="30">
        <f>IF(E67=0,0,E67/SUM(E66:E69))</f>
        <v>0</v>
      </c>
      <c r="G67" s="29">
        <f t="shared" si="1"/>
        <v>0</v>
      </c>
      <c r="H67" s="31">
        <f>'Carga Flex'!H119</f>
        <v>0</v>
      </c>
      <c r="I67" s="31">
        <f>'Carga Flex'!I119</f>
        <v>0</v>
      </c>
      <c r="J67" s="31">
        <f>'Carga Flex'!J119</f>
        <v>0</v>
      </c>
      <c r="K67" s="31">
        <f>'Carga Flex'!K119</f>
        <v>0</v>
      </c>
      <c r="L67" s="31">
        <f>'Carga Flex'!L119</f>
        <v>0</v>
      </c>
      <c r="M67" s="262">
        <f>'Carga Flex'!M119</f>
        <v>0</v>
      </c>
      <c r="N67" s="29">
        <f t="shared" si="5"/>
        <v>0</v>
      </c>
      <c r="O67" s="31">
        <f t="shared" si="9"/>
        <v>0</v>
      </c>
      <c r="P67" s="31">
        <f t="shared" si="9"/>
        <v>0</v>
      </c>
      <c r="Q67" s="31"/>
      <c r="R67" s="270"/>
      <c r="S67" s="165">
        <f t="shared" si="10"/>
        <v>0</v>
      </c>
      <c r="T67" s="166"/>
      <c r="U67" s="167"/>
      <c r="V67" s="551"/>
      <c r="W67" s="540"/>
      <c r="X67" s="31">
        <f>V66*365*(1+W66)^($Y$4-$B$5)*((1+W66)^$Y$5-1)/W66*F67/1000</f>
        <v>0</v>
      </c>
      <c r="Y67" s="30">
        <f>IF(X67=0,0,X67/SUM(X66:X69))</f>
        <v>0</v>
      </c>
    </row>
    <row r="68" spans="1:25" ht="12.75" hidden="1">
      <c r="A68" s="521"/>
      <c r="B68" s="521"/>
      <c r="C68" s="521"/>
      <c r="D68" s="28" t="s">
        <v>24</v>
      </c>
      <c r="E68" s="29">
        <f>'Carga Flex'!E120</f>
        <v>0</v>
      </c>
      <c r="F68" s="30">
        <f>IF(E68=0,0,E68/SUM(E66:E69))</f>
        <v>0</v>
      </c>
      <c r="G68" s="29">
        <f t="shared" si="1"/>
        <v>0</v>
      </c>
      <c r="H68" s="31">
        <f>'Carga Flex'!H120</f>
        <v>0</v>
      </c>
      <c r="I68" s="31">
        <f>'Carga Flex'!I120</f>
        <v>0</v>
      </c>
      <c r="J68" s="31">
        <f>'Carga Flex'!J120</f>
        <v>0</v>
      </c>
      <c r="K68" s="31">
        <f>'Carga Flex'!K120</f>
        <v>0</v>
      </c>
      <c r="L68" s="31">
        <f>'Carga Flex'!L120</f>
        <v>0</v>
      </c>
      <c r="M68" s="262">
        <f>'Carga Flex'!M120</f>
        <v>0</v>
      </c>
      <c r="N68" s="29">
        <f t="shared" si="5"/>
        <v>0</v>
      </c>
      <c r="O68" s="31">
        <f t="shared" si="9"/>
        <v>0</v>
      </c>
      <c r="P68" s="31">
        <f t="shared" si="9"/>
        <v>0</v>
      </c>
      <c r="Q68" s="31"/>
      <c r="R68" s="270"/>
      <c r="S68" s="165">
        <f t="shared" si="10"/>
        <v>0</v>
      </c>
      <c r="T68" s="166"/>
      <c r="U68" s="167"/>
      <c r="V68" s="551"/>
      <c r="W68" s="540"/>
      <c r="X68" s="31">
        <f>V66*365*(1+W66)^($Y$4-$B$5)*((1+W66)^$Y$5-1)/W66*F68/1000</f>
        <v>0</v>
      </c>
      <c r="Y68" s="30">
        <f>IF(X68=0,0,X68/SUM(X66:X69))</f>
        <v>0</v>
      </c>
    </row>
    <row r="69" spans="1:25" ht="12.75" hidden="1">
      <c r="A69" s="522"/>
      <c r="B69" s="522"/>
      <c r="C69" s="522"/>
      <c r="D69" s="34" t="s">
        <v>25</v>
      </c>
      <c r="E69" s="35">
        <f>'Carga Flex'!E121</f>
        <v>0</v>
      </c>
      <c r="F69" s="36">
        <f>IF(E69=0,0,E69/SUM(E66:E69))</f>
        <v>0</v>
      </c>
      <c r="G69" s="35">
        <f t="shared" si="1"/>
        <v>0</v>
      </c>
      <c r="H69" s="37">
        <f>'Carga Flex'!H121</f>
        <v>0</v>
      </c>
      <c r="I69" s="37">
        <f>'Carga Flex'!I121</f>
        <v>0</v>
      </c>
      <c r="J69" s="37">
        <f>'Carga Flex'!J121</f>
        <v>0</v>
      </c>
      <c r="K69" s="37">
        <f>'Carga Flex'!K121</f>
        <v>0</v>
      </c>
      <c r="L69" s="37">
        <f>'Carga Flex'!L121</f>
        <v>0</v>
      </c>
      <c r="M69" s="263">
        <f>'Carga Flex'!M121</f>
        <v>0</v>
      </c>
      <c r="N69" s="35">
        <f t="shared" si="5"/>
        <v>0</v>
      </c>
      <c r="O69" s="37">
        <f t="shared" si="9"/>
        <v>0</v>
      </c>
      <c r="P69" s="37">
        <f t="shared" si="9"/>
        <v>0</v>
      </c>
      <c r="Q69" s="37"/>
      <c r="R69" s="271"/>
      <c r="S69" s="168">
        <f t="shared" si="10"/>
        <v>0</v>
      </c>
      <c r="T69" s="169"/>
      <c r="U69" s="170"/>
      <c r="V69" s="552"/>
      <c r="W69" s="541"/>
      <c r="X69" s="37">
        <f>V66*365*(1+W66)^($Y$4-$B$5)*((1+W66)^$Y$5-1)/W66*F69/1000</f>
        <v>0</v>
      </c>
      <c r="Y69" s="36">
        <f>IF(X69=0,0,X69/SUM(X66:X69))</f>
        <v>0</v>
      </c>
    </row>
    <row r="70" spans="1:25" ht="12.75" hidden="1">
      <c r="A70" s="517">
        <v>21</v>
      </c>
      <c r="B70" s="517" t="s">
        <v>40</v>
      </c>
      <c r="C70" s="517"/>
      <c r="D70" s="1" t="s">
        <v>22</v>
      </c>
      <c r="E70" s="4">
        <f>'Carga Flex'!E122</f>
        <v>0</v>
      </c>
      <c r="F70" s="13">
        <f>IF(E70=0,0,E70/SUM(E70:E73))</f>
        <v>0</v>
      </c>
      <c r="G70" s="4">
        <f t="shared" si="1"/>
        <v>0</v>
      </c>
      <c r="H70" s="7">
        <f>'Carga Flex'!H122</f>
        <v>0</v>
      </c>
      <c r="I70" s="7">
        <f>'Carga Flex'!I122</f>
        <v>0</v>
      </c>
      <c r="J70" s="7">
        <f>'Carga Flex'!J122</f>
        <v>0</v>
      </c>
      <c r="K70" s="7">
        <f>'Carga Flex'!K122</f>
        <v>0</v>
      </c>
      <c r="L70" s="7">
        <f>'Carga Flex'!L122</f>
        <v>0</v>
      </c>
      <c r="M70" s="264">
        <f>'Carga Flex'!M122</f>
        <v>0</v>
      </c>
      <c r="N70" s="4">
        <f t="shared" si="5"/>
        <v>0</v>
      </c>
      <c r="O70" s="7"/>
      <c r="P70" s="7"/>
      <c r="Q70" s="7"/>
      <c r="R70" s="264"/>
      <c r="S70" s="4">
        <f t="shared" si="10"/>
        <v>0</v>
      </c>
      <c r="T70" s="10"/>
      <c r="U70" s="171">
        <f>ROUND((K70+L70+M70)*$Y$6/1000,0)*1000</f>
        <v>0</v>
      </c>
      <c r="V70" s="553">
        <f>'Pav Flex'!E25</f>
        <v>17</v>
      </c>
      <c r="W70" s="542">
        <f>$Y$3</f>
        <v>0.04</v>
      </c>
      <c r="X70" s="7">
        <f>V70*365*(1+W70)^($Y$4-$B$5)*((1+W70)^$Y$5-1)/W70*F70/1000</f>
        <v>0</v>
      </c>
      <c r="Y70" s="13">
        <f>IF(X70=0,0,X70/SUM(X70:X73))</f>
        <v>0</v>
      </c>
    </row>
    <row r="71" spans="1:25" ht="12.75" hidden="1">
      <c r="A71" s="518"/>
      <c r="B71" s="518"/>
      <c r="C71" s="518"/>
      <c r="D71" s="2" t="s">
        <v>23</v>
      </c>
      <c r="E71" s="5">
        <f>'Carga Flex'!E123</f>
        <v>0</v>
      </c>
      <c r="F71" s="14">
        <f>IF(E71=0,0,E71/SUM(E70:E73))</f>
        <v>0</v>
      </c>
      <c r="G71" s="5">
        <f t="shared" si="1"/>
        <v>0</v>
      </c>
      <c r="H71" s="8">
        <f>'Carga Flex'!H123</f>
        <v>0</v>
      </c>
      <c r="I71" s="8">
        <f>'Carga Flex'!I123</f>
        <v>0</v>
      </c>
      <c r="J71" s="8">
        <f>'Carga Flex'!J123</f>
        <v>0</v>
      </c>
      <c r="K71" s="8">
        <f>'Carga Flex'!K123</f>
        <v>0</v>
      </c>
      <c r="L71" s="8">
        <f>'Carga Flex'!L123</f>
        <v>0</v>
      </c>
      <c r="M71" s="265">
        <f>'Carga Flex'!M123</f>
        <v>0</v>
      </c>
      <c r="N71" s="5">
        <f t="shared" si="5"/>
        <v>0</v>
      </c>
      <c r="O71" s="8"/>
      <c r="P71" s="8"/>
      <c r="Q71" s="8"/>
      <c r="R71" s="265"/>
      <c r="S71" s="5">
        <f t="shared" si="10"/>
        <v>0</v>
      </c>
      <c r="T71" s="11"/>
      <c r="U71" s="172">
        <f>ROUND((K71+L71+M71)*$Y$6/1000,0)*1000</f>
        <v>0</v>
      </c>
      <c r="V71" s="554"/>
      <c r="W71" s="543"/>
      <c r="X71" s="8">
        <f>V70*365*(1+W70)^($Y$4-$B$5)*((1+W70)^$Y$5-1)/W70*F71/1000</f>
        <v>0</v>
      </c>
      <c r="Y71" s="14">
        <f>IF(X71=0,0,X71/SUM(X70:X73))</f>
        <v>0</v>
      </c>
    </row>
    <row r="72" spans="1:25" ht="12.75" hidden="1">
      <c r="A72" s="518"/>
      <c r="B72" s="518"/>
      <c r="C72" s="518"/>
      <c r="D72" s="2" t="s">
        <v>24</v>
      </c>
      <c r="E72" s="5">
        <f>'Carga Flex'!E124</f>
        <v>0</v>
      </c>
      <c r="F72" s="14">
        <f>IF(E72=0,0,E72/SUM(E70:E73))</f>
        <v>0</v>
      </c>
      <c r="G72" s="5">
        <f t="shared" si="1"/>
        <v>0</v>
      </c>
      <c r="H72" s="8">
        <f>'Carga Flex'!H124</f>
        <v>0</v>
      </c>
      <c r="I72" s="8">
        <f>'Carga Flex'!I124</f>
        <v>0</v>
      </c>
      <c r="J72" s="8">
        <f>'Carga Flex'!J124</f>
        <v>0</v>
      </c>
      <c r="K72" s="8">
        <f>'Carga Flex'!K124</f>
        <v>0</v>
      </c>
      <c r="L72" s="8">
        <f>'Carga Flex'!L124</f>
        <v>0</v>
      </c>
      <c r="M72" s="265">
        <f>'Carga Flex'!M124</f>
        <v>0</v>
      </c>
      <c r="N72" s="5">
        <f t="shared" si="5"/>
        <v>0</v>
      </c>
      <c r="O72" s="8"/>
      <c r="P72" s="8"/>
      <c r="Q72" s="8"/>
      <c r="R72" s="265"/>
      <c r="S72" s="5">
        <f t="shared" si="10"/>
        <v>0</v>
      </c>
      <c r="T72" s="11"/>
      <c r="U72" s="172">
        <f>ROUND((K72+L72+M72)*$Y$6/1000,0)*1000</f>
        <v>0</v>
      </c>
      <c r="V72" s="554"/>
      <c r="W72" s="543"/>
      <c r="X72" s="8">
        <f>V70*365*(1+W70)^($Y$4-$B$5)*((1+W70)^$Y$5-1)/W70*F72/1000</f>
        <v>0</v>
      </c>
      <c r="Y72" s="14">
        <f>IF(X72=0,0,X72/SUM(X70:X73))</f>
        <v>0</v>
      </c>
    </row>
    <row r="73" spans="1:25" ht="12.75" hidden="1">
      <c r="A73" s="519"/>
      <c r="B73" s="519"/>
      <c r="C73" s="519"/>
      <c r="D73" s="3" t="s">
        <v>25</v>
      </c>
      <c r="E73" s="6">
        <f>'Carga Flex'!E125</f>
        <v>0</v>
      </c>
      <c r="F73" s="15">
        <f>IF(E73=0,0,E73/SUM(E70:E73))</f>
        <v>0</v>
      </c>
      <c r="G73" s="6">
        <f t="shared" si="1"/>
        <v>0</v>
      </c>
      <c r="H73" s="9">
        <f>'Carga Flex'!H125</f>
        <v>0</v>
      </c>
      <c r="I73" s="9">
        <f>'Carga Flex'!I125</f>
        <v>0</v>
      </c>
      <c r="J73" s="9">
        <f>'Carga Flex'!J125</f>
        <v>0</v>
      </c>
      <c r="K73" s="9">
        <f>'Carga Flex'!K125</f>
        <v>0</v>
      </c>
      <c r="L73" s="9">
        <f>'Carga Flex'!L125</f>
        <v>0</v>
      </c>
      <c r="M73" s="266">
        <f>'Carga Flex'!M125</f>
        <v>0</v>
      </c>
      <c r="N73" s="6">
        <f t="shared" si="5"/>
        <v>0</v>
      </c>
      <c r="O73" s="9"/>
      <c r="P73" s="9"/>
      <c r="Q73" s="9"/>
      <c r="R73" s="266"/>
      <c r="S73" s="6">
        <f t="shared" si="10"/>
        <v>0</v>
      </c>
      <c r="T73" s="12"/>
      <c r="U73" s="173">
        <f>ROUND((K73+L73+M73)*$Y$6/1000,0)*1000</f>
        <v>0</v>
      </c>
      <c r="V73" s="555"/>
      <c r="W73" s="544"/>
      <c r="X73" s="9">
        <f>V70*365*(1+W70)^($Y$4-$B$5)*((1+W70)^$Y$5-1)/W70*F73/1000</f>
        <v>0</v>
      </c>
      <c r="Y73" s="15">
        <f>IF(X73=0,0,X73/SUM(X70:X73))</f>
        <v>0</v>
      </c>
    </row>
    <row r="74" spans="1:25" ht="12.75" hidden="1">
      <c r="A74" s="520">
        <v>22</v>
      </c>
      <c r="B74" s="520" t="s">
        <v>41</v>
      </c>
      <c r="C74" s="520"/>
      <c r="D74" s="22" t="s">
        <v>22</v>
      </c>
      <c r="E74" s="23">
        <f>'Carga Flex'!E126</f>
        <v>0</v>
      </c>
      <c r="F74" s="24">
        <f>IF(E74=0,0,E74/SUM(E74:E77))</f>
        <v>0</v>
      </c>
      <c r="G74" s="23">
        <f t="shared" si="1"/>
        <v>0</v>
      </c>
      <c r="H74" s="25">
        <f>'Carga Flex'!H126</f>
        <v>0</v>
      </c>
      <c r="I74" s="25">
        <f>'Carga Flex'!I126</f>
        <v>0</v>
      </c>
      <c r="J74" s="25">
        <f>'Carga Flex'!J126</f>
        <v>0</v>
      </c>
      <c r="K74" s="25">
        <f>'Carga Flex'!K126</f>
        <v>0</v>
      </c>
      <c r="L74" s="25">
        <f>'Carga Flex'!L126</f>
        <v>0</v>
      </c>
      <c r="M74" s="261">
        <f>'Carga Flex'!M126</f>
        <v>0</v>
      </c>
      <c r="N74" s="23">
        <f aca="true" t="shared" si="11" ref="N74:N93">ROUND(H74*$Y$6/1000,0)*1000</f>
        <v>0</v>
      </c>
      <c r="O74" s="25">
        <f aca="true" t="shared" si="12" ref="O74:P77">ROUND(I74*$Y$6/1000,0)*1000</f>
        <v>0</v>
      </c>
      <c r="P74" s="25">
        <f t="shared" si="12"/>
        <v>0</v>
      </c>
      <c r="Q74" s="25"/>
      <c r="R74" s="261"/>
      <c r="S74" s="23">
        <f>ROUND((K74+L74)*$Y$6/1000,0)*1000</f>
        <v>0</v>
      </c>
      <c r="T74" s="26"/>
      <c r="U74" s="164"/>
      <c r="V74" s="550">
        <f>'Pav Flex'!E26</f>
        <v>46</v>
      </c>
      <c r="W74" s="539">
        <f>$Y$3</f>
        <v>0.04</v>
      </c>
      <c r="X74" s="25">
        <f>V74*365*(1+W74)^($Y$4-$B$5)*((1+W74)^$Y$5-1)/W74*F74/1000</f>
        <v>0</v>
      </c>
      <c r="Y74" s="24">
        <f>IF(X74=0,0,X74/SUM(X74:X77))</f>
        <v>0</v>
      </c>
    </row>
    <row r="75" spans="1:25" ht="12.75" hidden="1">
      <c r="A75" s="521"/>
      <c r="B75" s="521"/>
      <c r="C75" s="521"/>
      <c r="D75" s="28" t="s">
        <v>23</v>
      </c>
      <c r="E75" s="29">
        <f>'Carga Flex'!E127</f>
        <v>0</v>
      </c>
      <c r="F75" s="30">
        <f>IF(E75=0,0,E75/SUM(E74:E77))</f>
        <v>0</v>
      </c>
      <c r="G75" s="29">
        <f aca="true" t="shared" si="13" ref="G75:G93">SUM(H75:M75)</f>
        <v>0</v>
      </c>
      <c r="H75" s="31">
        <f>'Carga Flex'!H127</f>
        <v>0</v>
      </c>
      <c r="I75" s="31">
        <f>'Carga Flex'!I127</f>
        <v>0</v>
      </c>
      <c r="J75" s="31">
        <f>'Carga Flex'!J127</f>
        <v>0</v>
      </c>
      <c r="K75" s="31">
        <f>'Carga Flex'!K127</f>
        <v>0</v>
      </c>
      <c r="L75" s="31">
        <f>'Carga Flex'!L127</f>
        <v>0</v>
      </c>
      <c r="M75" s="262">
        <f>'Carga Flex'!M127</f>
        <v>0</v>
      </c>
      <c r="N75" s="29">
        <f t="shared" si="11"/>
        <v>0</v>
      </c>
      <c r="O75" s="31">
        <f t="shared" si="12"/>
        <v>0</v>
      </c>
      <c r="P75" s="31">
        <f t="shared" si="12"/>
        <v>0</v>
      </c>
      <c r="Q75" s="31"/>
      <c r="R75" s="262"/>
      <c r="S75" s="29">
        <f>ROUND((K75+L75)*$Y$6/1000,0)*1000</f>
        <v>0</v>
      </c>
      <c r="T75" s="32"/>
      <c r="U75" s="167"/>
      <c r="V75" s="551"/>
      <c r="W75" s="540"/>
      <c r="X75" s="31">
        <f>V74*365*(1+W74)^($Y$4-$B$5)*((1+W74)^$Y$5-1)/W74*F75/1000</f>
        <v>0</v>
      </c>
      <c r="Y75" s="30">
        <f>IF(X75=0,0,X75/SUM(X74:X77))</f>
        <v>0</v>
      </c>
    </row>
    <row r="76" spans="1:25" ht="12.75" hidden="1">
      <c r="A76" s="521"/>
      <c r="B76" s="521"/>
      <c r="C76" s="521"/>
      <c r="D76" s="28" t="s">
        <v>24</v>
      </c>
      <c r="E76" s="29">
        <f>'Carga Flex'!E128</f>
        <v>0</v>
      </c>
      <c r="F76" s="30">
        <f>IF(E76=0,0,E76/SUM(E74:E77))</f>
        <v>0</v>
      </c>
      <c r="G76" s="29">
        <f t="shared" si="13"/>
        <v>0</v>
      </c>
      <c r="H76" s="31">
        <f>'Carga Flex'!H128</f>
        <v>0</v>
      </c>
      <c r="I76" s="31">
        <f>'Carga Flex'!I128</f>
        <v>0</v>
      </c>
      <c r="J76" s="31">
        <f>'Carga Flex'!J128</f>
        <v>0</v>
      </c>
      <c r="K76" s="31">
        <f>'Carga Flex'!K128</f>
        <v>0</v>
      </c>
      <c r="L76" s="31">
        <f>'Carga Flex'!L128</f>
        <v>0</v>
      </c>
      <c r="M76" s="262">
        <f>'Carga Flex'!M128</f>
        <v>0</v>
      </c>
      <c r="N76" s="29">
        <f t="shared" si="11"/>
        <v>0</v>
      </c>
      <c r="O76" s="31">
        <f t="shared" si="12"/>
        <v>0</v>
      </c>
      <c r="P76" s="31">
        <f t="shared" si="12"/>
        <v>0</v>
      </c>
      <c r="Q76" s="31"/>
      <c r="R76" s="262"/>
      <c r="S76" s="29">
        <f>ROUND((K76+L76)*$Y$6/1000,0)*1000</f>
        <v>0</v>
      </c>
      <c r="T76" s="32"/>
      <c r="U76" s="167"/>
      <c r="V76" s="551"/>
      <c r="W76" s="540"/>
      <c r="X76" s="31">
        <f>V74*365*(1+W74)^($Y$4-$B$5)*((1+W74)^$Y$5-1)/W74*F76/1000</f>
        <v>0</v>
      </c>
      <c r="Y76" s="30">
        <f>IF(X76=0,0,X76/SUM(X74:X77))</f>
        <v>0</v>
      </c>
    </row>
    <row r="77" spans="1:25" ht="12.75" hidden="1">
      <c r="A77" s="522"/>
      <c r="B77" s="522"/>
      <c r="C77" s="522"/>
      <c r="D77" s="34" t="s">
        <v>25</v>
      </c>
      <c r="E77" s="35">
        <f>'Carga Flex'!E129</f>
        <v>0</v>
      </c>
      <c r="F77" s="36">
        <f>IF(E77=0,0,E77/SUM(E74:E77))</f>
        <v>0</v>
      </c>
      <c r="G77" s="35">
        <f t="shared" si="13"/>
        <v>0</v>
      </c>
      <c r="H77" s="37">
        <f>'Carga Flex'!H129</f>
        <v>0</v>
      </c>
      <c r="I77" s="37">
        <f>'Carga Flex'!I129</f>
        <v>0</v>
      </c>
      <c r="J77" s="37">
        <f>'Carga Flex'!J129</f>
        <v>0</v>
      </c>
      <c r="K77" s="37">
        <f>'Carga Flex'!K129</f>
        <v>0</v>
      </c>
      <c r="L77" s="37">
        <f>'Carga Flex'!L129</f>
        <v>0</v>
      </c>
      <c r="M77" s="263">
        <f>'Carga Flex'!M129</f>
        <v>0</v>
      </c>
      <c r="N77" s="35">
        <f t="shared" si="11"/>
        <v>0</v>
      </c>
      <c r="O77" s="37">
        <f t="shared" si="12"/>
        <v>0</v>
      </c>
      <c r="P77" s="37">
        <f t="shared" si="12"/>
        <v>0</v>
      </c>
      <c r="Q77" s="37"/>
      <c r="R77" s="263"/>
      <c r="S77" s="35">
        <f>ROUND((K77+L77)*$Y$6/1000,0)*1000</f>
        <v>0</v>
      </c>
      <c r="T77" s="38"/>
      <c r="U77" s="170"/>
      <c r="V77" s="552"/>
      <c r="W77" s="541"/>
      <c r="X77" s="37">
        <f>V74*365*(1+W74)^($Y$4-$B$5)*((1+W74)^$Y$5-1)/W74*F77/1000</f>
        <v>0</v>
      </c>
      <c r="Y77" s="36">
        <f>IF(X77=0,0,X77/SUM(X74:X77))</f>
        <v>0</v>
      </c>
    </row>
    <row r="78" spans="1:26" ht="12.75" hidden="1">
      <c r="A78" s="517">
        <v>23</v>
      </c>
      <c r="B78" s="517" t="s">
        <v>42</v>
      </c>
      <c r="C78" s="517"/>
      <c r="D78" s="1" t="s">
        <v>22</v>
      </c>
      <c r="E78" s="4">
        <f>'Carga Flex'!E130</f>
        <v>0</v>
      </c>
      <c r="F78" s="13">
        <f>IF(E78=0,0,E78/SUM(E78:E81))</f>
        <v>0</v>
      </c>
      <c r="G78" s="4">
        <f t="shared" si="13"/>
        <v>0</v>
      </c>
      <c r="H78" s="7">
        <f>'Carga Flex'!H130</f>
        <v>0</v>
      </c>
      <c r="I78" s="7">
        <f>'Carga Flex'!I130</f>
        <v>0</v>
      </c>
      <c r="J78" s="7">
        <f>'Carga Flex'!J130</f>
        <v>0</v>
      </c>
      <c r="K78" s="7">
        <f>'Carga Flex'!K130</f>
        <v>0</v>
      </c>
      <c r="L78" s="7">
        <f>'Carga Flex'!L130</f>
        <v>0</v>
      </c>
      <c r="M78" s="264">
        <f>'Carga Flex'!M130</f>
        <v>0</v>
      </c>
      <c r="N78" s="4">
        <f t="shared" si="11"/>
        <v>0</v>
      </c>
      <c r="O78" s="7">
        <f aca="true" t="shared" si="14" ref="O78:P81">ROUND(K78*$Y$6/1000,0)*1000</f>
        <v>0</v>
      </c>
      <c r="P78" s="7">
        <f t="shared" si="14"/>
        <v>0</v>
      </c>
      <c r="Q78" s="7"/>
      <c r="R78" s="264"/>
      <c r="S78" s="4">
        <f aca="true" t="shared" si="15" ref="S78:S85">ROUND((I78+J78)*$Y$6/1000,0)*1000</f>
        <v>0</v>
      </c>
      <c r="T78" s="10"/>
      <c r="U78" s="171"/>
      <c r="V78" s="553">
        <f>'Pav Flex'!E27</f>
        <v>24</v>
      </c>
      <c r="W78" s="542">
        <f>$Y$3</f>
        <v>0.04</v>
      </c>
      <c r="X78" s="7">
        <f>V78*365*(1+W78)^($Y$4-$B$5)*((1+W78)^$Y$5-1)/W78*F78/1000</f>
        <v>0</v>
      </c>
      <c r="Y78" s="13">
        <f>IF(X78=0,0,X78/SUM(X78:X81))</f>
        <v>0</v>
      </c>
      <c r="Z78" s="160"/>
    </row>
    <row r="79" spans="1:26" ht="12.75" hidden="1">
      <c r="A79" s="518"/>
      <c r="B79" s="518"/>
      <c r="C79" s="518"/>
      <c r="D79" s="2" t="s">
        <v>23</v>
      </c>
      <c r="E79" s="5">
        <f>'Carga Flex'!E131</f>
        <v>0</v>
      </c>
      <c r="F79" s="14">
        <f>IF(E79=0,0,E79/SUM(E78:E81))</f>
        <v>0</v>
      </c>
      <c r="G79" s="5">
        <f t="shared" si="13"/>
        <v>0</v>
      </c>
      <c r="H79" s="8">
        <f>'Carga Flex'!H131</f>
        <v>0</v>
      </c>
      <c r="I79" s="8">
        <f>'Carga Flex'!I131</f>
        <v>0</v>
      </c>
      <c r="J79" s="8">
        <f>'Carga Flex'!J131</f>
        <v>0</v>
      </c>
      <c r="K79" s="8">
        <f>'Carga Flex'!K131</f>
        <v>0</v>
      </c>
      <c r="L79" s="8">
        <f>'Carga Flex'!L131</f>
        <v>0</v>
      </c>
      <c r="M79" s="265">
        <f>'Carga Flex'!M131</f>
        <v>0</v>
      </c>
      <c r="N79" s="5">
        <f t="shared" si="11"/>
        <v>0</v>
      </c>
      <c r="O79" s="8">
        <f t="shared" si="14"/>
        <v>0</v>
      </c>
      <c r="P79" s="8">
        <f t="shared" si="14"/>
        <v>0</v>
      </c>
      <c r="Q79" s="8"/>
      <c r="R79" s="265"/>
      <c r="S79" s="5">
        <f t="shared" si="15"/>
        <v>0</v>
      </c>
      <c r="T79" s="11"/>
      <c r="U79" s="172"/>
      <c r="V79" s="554"/>
      <c r="W79" s="543"/>
      <c r="X79" s="8">
        <f>V78*365*(1+W78)^($Y$4-$B$5)*((1+W78)^$Y$5-1)/W78*F79/1000</f>
        <v>0</v>
      </c>
      <c r="Y79" s="14">
        <f>IF(X79=0,0,X79/SUM(X78:X81))</f>
        <v>0</v>
      </c>
      <c r="Z79" s="160"/>
    </row>
    <row r="80" spans="1:25" ht="12.75" hidden="1">
      <c r="A80" s="518"/>
      <c r="B80" s="518"/>
      <c r="C80" s="518"/>
      <c r="D80" s="2" t="s">
        <v>24</v>
      </c>
      <c r="E80" s="5">
        <f>'Carga Flex'!E132</f>
        <v>0</v>
      </c>
      <c r="F80" s="14">
        <f>IF(E80=0,0,E80/SUM(E78:E81))</f>
        <v>0</v>
      </c>
      <c r="G80" s="5">
        <f t="shared" si="13"/>
        <v>0</v>
      </c>
      <c r="H80" s="8">
        <f>'Carga Flex'!H132</f>
        <v>0</v>
      </c>
      <c r="I80" s="8">
        <f>'Carga Flex'!I132</f>
        <v>0</v>
      </c>
      <c r="J80" s="8">
        <f>'Carga Flex'!J132</f>
        <v>0</v>
      </c>
      <c r="K80" s="8">
        <f>'Carga Flex'!K132</f>
        <v>0</v>
      </c>
      <c r="L80" s="8">
        <f>'Carga Flex'!L132</f>
        <v>0</v>
      </c>
      <c r="M80" s="265">
        <f>'Carga Flex'!M132</f>
        <v>0</v>
      </c>
      <c r="N80" s="5">
        <f t="shared" si="11"/>
        <v>0</v>
      </c>
      <c r="O80" s="8">
        <f t="shared" si="14"/>
        <v>0</v>
      </c>
      <c r="P80" s="8">
        <f t="shared" si="14"/>
        <v>0</v>
      </c>
      <c r="Q80" s="8"/>
      <c r="R80" s="265"/>
      <c r="S80" s="5">
        <f t="shared" si="15"/>
        <v>0</v>
      </c>
      <c r="T80" s="11"/>
      <c r="U80" s="172"/>
      <c r="V80" s="554"/>
      <c r="W80" s="543"/>
      <c r="X80" s="8">
        <f>V78*365*(1+W78)^($Y$4-$B$5)*((1+W78)^$Y$5-1)/W78*F80/1000</f>
        <v>0</v>
      </c>
      <c r="Y80" s="14">
        <f>IF(X80=0,0,X80/SUM(X78:X81))</f>
        <v>0</v>
      </c>
    </row>
    <row r="81" spans="1:25" ht="12.75" hidden="1">
      <c r="A81" s="519"/>
      <c r="B81" s="519"/>
      <c r="C81" s="519"/>
      <c r="D81" s="3" t="s">
        <v>25</v>
      </c>
      <c r="E81" s="6">
        <f>'Carga Flex'!E133</f>
        <v>0</v>
      </c>
      <c r="F81" s="15">
        <f>IF(E81=0,0,E81/SUM(E78:E81))</f>
        <v>0</v>
      </c>
      <c r="G81" s="6">
        <f t="shared" si="13"/>
        <v>0</v>
      </c>
      <c r="H81" s="9">
        <f>'Carga Flex'!H133</f>
        <v>0</v>
      </c>
      <c r="I81" s="9">
        <f>'Carga Flex'!I133</f>
        <v>0</v>
      </c>
      <c r="J81" s="9">
        <f>'Carga Flex'!J133</f>
        <v>0</v>
      </c>
      <c r="K81" s="9">
        <f>'Carga Flex'!K133</f>
        <v>0</v>
      </c>
      <c r="L81" s="9">
        <f>'Carga Flex'!L133</f>
        <v>0</v>
      </c>
      <c r="M81" s="266">
        <f>'Carga Flex'!M133</f>
        <v>0</v>
      </c>
      <c r="N81" s="6">
        <f t="shared" si="11"/>
        <v>0</v>
      </c>
      <c r="O81" s="9">
        <f t="shared" si="14"/>
        <v>0</v>
      </c>
      <c r="P81" s="9">
        <f t="shared" si="14"/>
        <v>0</v>
      </c>
      <c r="Q81" s="9"/>
      <c r="R81" s="266"/>
      <c r="S81" s="6">
        <f t="shared" si="15"/>
        <v>0</v>
      </c>
      <c r="T81" s="12"/>
      <c r="U81" s="173"/>
      <c r="V81" s="555"/>
      <c r="W81" s="544"/>
      <c r="X81" s="9">
        <f>V78*365*(1+W78)^($Y$4-$B$5)*((1+W78)^$Y$5-1)/W78*F81/1000</f>
        <v>0</v>
      </c>
      <c r="Y81" s="15">
        <f>IF(X81=0,0,X81/SUM(X78:X81))</f>
        <v>0</v>
      </c>
    </row>
    <row r="82" spans="1:25" ht="12.75" customHeight="1" hidden="1">
      <c r="A82" s="520">
        <v>24</v>
      </c>
      <c r="B82" s="520" t="s">
        <v>43</v>
      </c>
      <c r="C82" s="520"/>
      <c r="D82" s="22" t="s">
        <v>22</v>
      </c>
      <c r="E82" s="23">
        <f>'Carga Flex'!E134</f>
        <v>0</v>
      </c>
      <c r="F82" s="24">
        <f>IF(E82=0,0,E82/SUM(E82:E85))</f>
        <v>0</v>
      </c>
      <c r="G82" s="23">
        <f t="shared" si="13"/>
        <v>0</v>
      </c>
      <c r="H82" s="25">
        <f>'Carga Flex'!H134</f>
        <v>0</v>
      </c>
      <c r="I82" s="25">
        <f>'Carga Flex'!I134</f>
        <v>0</v>
      </c>
      <c r="J82" s="25">
        <f>'Carga Flex'!J134</f>
        <v>0</v>
      </c>
      <c r="K82" s="25">
        <f>'Carga Flex'!K134</f>
        <v>0</v>
      </c>
      <c r="L82" s="25">
        <f>'Carga Flex'!L134</f>
        <v>0</v>
      </c>
      <c r="M82" s="261">
        <f>'Carga Flex'!M134</f>
        <v>0</v>
      </c>
      <c r="N82" s="23">
        <f t="shared" si="11"/>
        <v>0</v>
      </c>
      <c r="O82" s="25">
        <f>ROUND(K82*$Y$6/1000,0)*1000</f>
        <v>0</v>
      </c>
      <c r="P82" s="25"/>
      <c r="Q82" s="25"/>
      <c r="R82" s="269"/>
      <c r="S82" s="162">
        <f t="shared" si="15"/>
        <v>0</v>
      </c>
      <c r="T82" s="163">
        <f>ROUND((L82+M82)*$Y$6/1000,0)*1000</f>
        <v>0</v>
      </c>
      <c r="U82" s="164"/>
      <c r="V82" s="550">
        <f>'Pav Flex'!E28</f>
        <v>0</v>
      </c>
      <c r="W82" s="539">
        <f>$Y$3</f>
        <v>0.04</v>
      </c>
      <c r="X82" s="25">
        <f>V82*365*(1+W82)^($Y$4-$B$5)*((1+W82)^$Y$5-1)/W82*F82/1000</f>
        <v>0</v>
      </c>
      <c r="Y82" s="24"/>
    </row>
    <row r="83" spans="1:25" ht="12.75" customHeight="1" hidden="1">
      <c r="A83" s="521"/>
      <c r="B83" s="521"/>
      <c r="C83" s="521"/>
      <c r="D83" s="28" t="s">
        <v>23</v>
      </c>
      <c r="E83" s="29">
        <f>'Carga Flex'!E135</f>
        <v>0</v>
      </c>
      <c r="F83" s="30">
        <f>IF(E83=0,0,E83/SUM(E82:E85))</f>
        <v>0</v>
      </c>
      <c r="G83" s="29">
        <f t="shared" si="13"/>
        <v>0</v>
      </c>
      <c r="H83" s="31">
        <f>'Carga Flex'!H135</f>
        <v>0</v>
      </c>
      <c r="I83" s="31">
        <f>'Carga Flex'!I135</f>
        <v>0</v>
      </c>
      <c r="J83" s="31">
        <f>'Carga Flex'!J135</f>
        <v>0</v>
      </c>
      <c r="K83" s="31">
        <f>'Carga Flex'!K135</f>
        <v>0</v>
      </c>
      <c r="L83" s="31">
        <f>'Carga Flex'!L135</f>
        <v>0</v>
      </c>
      <c r="M83" s="262">
        <f>'Carga Flex'!M135</f>
        <v>0</v>
      </c>
      <c r="N83" s="29">
        <f t="shared" si="11"/>
        <v>0</v>
      </c>
      <c r="O83" s="31">
        <f>ROUND(K83*$Y$6/1000,0)*1000</f>
        <v>0</v>
      </c>
      <c r="P83" s="31"/>
      <c r="Q83" s="31"/>
      <c r="R83" s="270"/>
      <c r="S83" s="165">
        <f t="shared" si="15"/>
        <v>0</v>
      </c>
      <c r="T83" s="166">
        <f>ROUND((L83+M83)*$Y$6/1000,0)*1000</f>
        <v>0</v>
      </c>
      <c r="U83" s="167"/>
      <c r="V83" s="551"/>
      <c r="W83" s="540"/>
      <c r="X83" s="31">
        <f>V82*365*(1+W82)^($Y$4-$B$5)*((1+W82)^$Y$5-1)/W82*F83/1000</f>
        <v>0</v>
      </c>
      <c r="Y83" s="30"/>
    </row>
    <row r="84" spans="1:25" ht="12.75" customHeight="1" hidden="1">
      <c r="A84" s="521"/>
      <c r="B84" s="521"/>
      <c r="C84" s="521"/>
      <c r="D84" s="28" t="s">
        <v>24</v>
      </c>
      <c r="E84" s="29">
        <f>'Carga Flex'!E136</f>
        <v>0</v>
      </c>
      <c r="F84" s="30">
        <f>IF(E84=0,0,E84/SUM(E82:E85))</f>
        <v>0</v>
      </c>
      <c r="G84" s="29">
        <f t="shared" si="13"/>
        <v>0</v>
      </c>
      <c r="H84" s="31">
        <f>'Carga Flex'!H136</f>
        <v>0</v>
      </c>
      <c r="I84" s="31">
        <f>'Carga Flex'!I136</f>
        <v>0</v>
      </c>
      <c r="J84" s="31">
        <f>'Carga Flex'!J136</f>
        <v>0</v>
      </c>
      <c r="K84" s="31">
        <f>'Carga Flex'!K136</f>
        <v>0</v>
      </c>
      <c r="L84" s="31">
        <f>'Carga Flex'!L136</f>
        <v>0</v>
      </c>
      <c r="M84" s="262">
        <f>'Carga Flex'!M136</f>
        <v>0</v>
      </c>
      <c r="N84" s="29">
        <f t="shared" si="11"/>
        <v>0</v>
      </c>
      <c r="O84" s="31">
        <f>ROUND(K84*$Y$6/1000,0)*1000</f>
        <v>0</v>
      </c>
      <c r="P84" s="31"/>
      <c r="Q84" s="31"/>
      <c r="R84" s="270"/>
      <c r="S84" s="165">
        <f t="shared" si="15"/>
        <v>0</v>
      </c>
      <c r="T84" s="166">
        <f>ROUND((L84+M84)*$Y$6/1000,0)*1000</f>
        <v>0</v>
      </c>
      <c r="U84" s="167"/>
      <c r="V84" s="551"/>
      <c r="W84" s="540"/>
      <c r="X84" s="31">
        <f>V82*365*(1+W82)^($Y$4-$B$5)*((1+W82)^$Y$5-1)/W82*F84/1000</f>
        <v>0</v>
      </c>
      <c r="Y84" s="30"/>
    </row>
    <row r="85" spans="1:25" ht="12.75" customHeight="1" hidden="1">
      <c r="A85" s="522"/>
      <c r="B85" s="522"/>
      <c r="C85" s="522"/>
      <c r="D85" s="34" t="s">
        <v>25</v>
      </c>
      <c r="E85" s="35">
        <f>'Carga Flex'!E137</f>
        <v>0</v>
      </c>
      <c r="F85" s="36">
        <f>IF(E85=0,0,E85/SUM(E82:E85))</f>
        <v>0</v>
      </c>
      <c r="G85" s="35">
        <f t="shared" si="13"/>
        <v>0</v>
      </c>
      <c r="H85" s="37">
        <f>'Carga Flex'!H137</f>
        <v>0</v>
      </c>
      <c r="I85" s="37">
        <f>'Carga Flex'!I137</f>
        <v>0</v>
      </c>
      <c r="J85" s="37">
        <f>'Carga Flex'!J137</f>
        <v>0</v>
      </c>
      <c r="K85" s="37">
        <f>'Carga Flex'!K137</f>
        <v>0</v>
      </c>
      <c r="L85" s="37">
        <f>'Carga Flex'!L137</f>
        <v>0</v>
      </c>
      <c r="M85" s="263">
        <f>'Carga Flex'!M137</f>
        <v>0</v>
      </c>
      <c r="N85" s="35">
        <f t="shared" si="11"/>
        <v>0</v>
      </c>
      <c r="O85" s="37">
        <f>ROUND(K85*$Y$6/1000,0)*1000</f>
        <v>0</v>
      </c>
      <c r="P85" s="37"/>
      <c r="Q85" s="37"/>
      <c r="R85" s="271"/>
      <c r="S85" s="168">
        <f t="shared" si="15"/>
        <v>0</v>
      </c>
      <c r="T85" s="169">
        <f>ROUND((L85+M85)*$Y$6/1000,0)*1000</f>
        <v>0</v>
      </c>
      <c r="U85" s="170"/>
      <c r="V85" s="552"/>
      <c r="W85" s="541"/>
      <c r="X85" s="37">
        <f>V82*365*(1+W82)^($Y$4-$B$5)*((1+W82)^$Y$5-1)/W82*F85/1000</f>
        <v>0</v>
      </c>
      <c r="Y85" s="36"/>
    </row>
    <row r="86" spans="1:25" ht="12.75" hidden="1">
      <c r="A86" s="517">
        <v>25</v>
      </c>
      <c r="B86" s="517" t="s">
        <v>44</v>
      </c>
      <c r="C86" s="517"/>
      <c r="D86" s="1" t="s">
        <v>22</v>
      </c>
      <c r="E86" s="4">
        <f>'Carga Flex'!E138</f>
        <v>0</v>
      </c>
      <c r="F86" s="13">
        <f>IF(E86=0,0,E86/SUM(E86:E89))</f>
        <v>0</v>
      </c>
      <c r="G86" s="4">
        <f t="shared" si="13"/>
        <v>0</v>
      </c>
      <c r="H86" s="7">
        <f>'Carga Flex'!H138</f>
        <v>0</v>
      </c>
      <c r="I86" s="7">
        <f>'Carga Flex'!I138</f>
        <v>0</v>
      </c>
      <c r="J86" s="7">
        <f>'Carga Flex'!J138</f>
        <v>0</v>
      </c>
      <c r="K86" s="7">
        <f>'Carga Flex'!K138</f>
        <v>0</v>
      </c>
      <c r="L86" s="7">
        <f>'Carga Flex'!L138</f>
        <v>0</v>
      </c>
      <c r="M86" s="264">
        <f>'Carga Flex'!M138</f>
        <v>0</v>
      </c>
      <c r="N86" s="4">
        <f t="shared" si="11"/>
        <v>0</v>
      </c>
      <c r="O86" s="7">
        <f aca="true" t="shared" si="16" ref="O86:R89">ROUND(I86*$Y$6/1000,0)*1000</f>
        <v>0</v>
      </c>
      <c r="P86" s="7">
        <f t="shared" si="16"/>
        <v>0</v>
      </c>
      <c r="Q86" s="7">
        <f t="shared" si="16"/>
        <v>0</v>
      </c>
      <c r="R86" s="264">
        <f t="shared" si="16"/>
        <v>0</v>
      </c>
      <c r="S86" s="4"/>
      <c r="T86" s="10"/>
      <c r="U86" s="171"/>
      <c r="V86" s="553">
        <f>'Pav Flex'!E29</f>
        <v>0</v>
      </c>
      <c r="W86" s="542">
        <f>$Y$3</f>
        <v>0.04</v>
      </c>
      <c r="X86" s="7">
        <f>V86*365*(1+W86)^($Y$4-$B$5)*((1+W86)^$Y$5-1)/W86*F86/1000</f>
        <v>0</v>
      </c>
      <c r="Y86" s="13"/>
    </row>
    <row r="87" spans="1:25" ht="12.75" hidden="1">
      <c r="A87" s="518"/>
      <c r="B87" s="518"/>
      <c r="C87" s="518"/>
      <c r="D87" s="2" t="s">
        <v>23</v>
      </c>
      <c r="E87" s="5">
        <f>'Carga Flex'!E139</f>
        <v>0</v>
      </c>
      <c r="F87" s="14">
        <f>IF(E87=0,0,E87/SUM(E86:E89))</f>
        <v>0</v>
      </c>
      <c r="G87" s="5">
        <f t="shared" si="13"/>
        <v>0</v>
      </c>
      <c r="H87" s="8">
        <f>'Carga Flex'!H139</f>
        <v>0</v>
      </c>
      <c r="I87" s="8">
        <f>'Carga Flex'!I139</f>
        <v>0</v>
      </c>
      <c r="J87" s="8">
        <f>'Carga Flex'!J139</f>
        <v>0</v>
      </c>
      <c r="K87" s="8">
        <f>'Carga Flex'!K139</f>
        <v>0</v>
      </c>
      <c r="L87" s="8">
        <f>'Carga Flex'!L139</f>
        <v>0</v>
      </c>
      <c r="M87" s="265">
        <f>'Carga Flex'!M139</f>
        <v>0</v>
      </c>
      <c r="N87" s="5">
        <f t="shared" si="11"/>
        <v>0</v>
      </c>
      <c r="O87" s="8">
        <f t="shared" si="16"/>
        <v>0</v>
      </c>
      <c r="P87" s="8">
        <f t="shared" si="16"/>
        <v>0</v>
      </c>
      <c r="Q87" s="8">
        <f t="shared" si="16"/>
        <v>0</v>
      </c>
      <c r="R87" s="265">
        <f t="shared" si="16"/>
        <v>0</v>
      </c>
      <c r="S87" s="5"/>
      <c r="T87" s="11"/>
      <c r="U87" s="172"/>
      <c r="V87" s="554"/>
      <c r="W87" s="543"/>
      <c r="X87" s="8">
        <f>V86*365*(1+W86)^($Y$4-$B$5)*((1+W86)^$Y$5-1)/W86*F87/1000</f>
        <v>0</v>
      </c>
      <c r="Y87" s="14"/>
    </row>
    <row r="88" spans="1:25" ht="12.75" hidden="1">
      <c r="A88" s="518"/>
      <c r="B88" s="518"/>
      <c r="C88" s="518"/>
      <c r="D88" s="2" t="s">
        <v>24</v>
      </c>
      <c r="E88" s="5">
        <f>'Carga Flex'!E140</f>
        <v>0</v>
      </c>
      <c r="F88" s="14">
        <f>IF(E88=0,0,E88/SUM(E86:E89))</f>
        <v>0</v>
      </c>
      <c r="G88" s="5">
        <f t="shared" si="13"/>
        <v>0</v>
      </c>
      <c r="H88" s="8">
        <f>'Carga Flex'!H140</f>
        <v>0</v>
      </c>
      <c r="I88" s="8">
        <f>'Carga Flex'!I140</f>
        <v>0</v>
      </c>
      <c r="J88" s="8">
        <f>'Carga Flex'!J140</f>
        <v>0</v>
      </c>
      <c r="K88" s="8">
        <f>'Carga Flex'!K140</f>
        <v>0</v>
      </c>
      <c r="L88" s="8">
        <f>'Carga Flex'!L140</f>
        <v>0</v>
      </c>
      <c r="M88" s="265">
        <f>'Carga Flex'!M140</f>
        <v>0</v>
      </c>
      <c r="N88" s="5">
        <f t="shared" si="11"/>
        <v>0</v>
      </c>
      <c r="O88" s="8">
        <f t="shared" si="16"/>
        <v>0</v>
      </c>
      <c r="P88" s="8">
        <f t="shared" si="16"/>
        <v>0</v>
      </c>
      <c r="Q88" s="8">
        <f t="shared" si="16"/>
        <v>0</v>
      </c>
      <c r="R88" s="265">
        <f t="shared" si="16"/>
        <v>0</v>
      </c>
      <c r="S88" s="5"/>
      <c r="T88" s="11"/>
      <c r="U88" s="172"/>
      <c r="V88" s="554"/>
      <c r="W88" s="543"/>
      <c r="X88" s="8">
        <f>V86*365*(1+W86)^($Y$4-$B$5)*((1+W86)^$Y$5-1)/W86*F88/1000</f>
        <v>0</v>
      </c>
      <c r="Y88" s="14"/>
    </row>
    <row r="89" spans="1:25" ht="12.75" hidden="1">
      <c r="A89" s="519"/>
      <c r="B89" s="519"/>
      <c r="C89" s="519"/>
      <c r="D89" s="3" t="s">
        <v>25</v>
      </c>
      <c r="E89" s="6">
        <f>'Carga Flex'!E141</f>
        <v>0</v>
      </c>
      <c r="F89" s="15">
        <f>IF(E89=0,0,E89/SUM(E86:E89))</f>
        <v>0</v>
      </c>
      <c r="G89" s="6">
        <f t="shared" si="13"/>
        <v>0</v>
      </c>
      <c r="H89" s="9">
        <f>'Carga Flex'!H141</f>
        <v>0</v>
      </c>
      <c r="I89" s="9">
        <f>'Carga Flex'!I141</f>
        <v>0</v>
      </c>
      <c r="J89" s="9">
        <f>'Carga Flex'!J141</f>
        <v>0</v>
      </c>
      <c r="K89" s="9">
        <f>'Carga Flex'!K141</f>
        <v>0</v>
      </c>
      <c r="L89" s="9">
        <f>'Carga Flex'!L141</f>
        <v>0</v>
      </c>
      <c r="M89" s="266">
        <f>'Carga Flex'!M141</f>
        <v>0</v>
      </c>
      <c r="N89" s="6">
        <f t="shared" si="11"/>
        <v>0</v>
      </c>
      <c r="O89" s="9">
        <f t="shared" si="16"/>
        <v>0</v>
      </c>
      <c r="P89" s="9">
        <f t="shared" si="16"/>
        <v>0</v>
      </c>
      <c r="Q89" s="9">
        <f t="shared" si="16"/>
        <v>0</v>
      </c>
      <c r="R89" s="266">
        <f t="shared" si="16"/>
        <v>0</v>
      </c>
      <c r="S89" s="6"/>
      <c r="T89" s="12"/>
      <c r="U89" s="173"/>
      <c r="V89" s="555"/>
      <c r="W89" s="544"/>
      <c r="X89" s="9">
        <f>V86*365*(1+W86)^($Y$4-$B$5)*((1+W86)^$Y$5-1)/W86*F89/1000</f>
        <v>0</v>
      </c>
      <c r="Y89" s="15"/>
    </row>
    <row r="90" spans="1:25" ht="12.75" hidden="1">
      <c r="A90" s="520">
        <v>26</v>
      </c>
      <c r="B90" s="520" t="s">
        <v>45</v>
      </c>
      <c r="C90" s="520"/>
      <c r="D90" s="22" t="s">
        <v>22</v>
      </c>
      <c r="E90" s="23">
        <f>'Carga Flex'!E142</f>
        <v>0</v>
      </c>
      <c r="F90" s="24">
        <f>IF(E90=0,0,E90/SUM(E90:E93))</f>
        <v>0</v>
      </c>
      <c r="G90" s="23">
        <f t="shared" si="13"/>
        <v>0</v>
      </c>
      <c r="H90" s="25">
        <f>'Carga Flex'!H142</f>
        <v>0</v>
      </c>
      <c r="I90" s="25">
        <f>'Carga Flex'!I142</f>
        <v>0</v>
      </c>
      <c r="J90" s="25">
        <f>'Carga Flex'!J142</f>
        <v>0</v>
      </c>
      <c r="K90" s="25">
        <f>'Carga Flex'!K142</f>
        <v>0</v>
      </c>
      <c r="L90" s="25">
        <f>'Carga Flex'!L142</f>
        <v>0</v>
      </c>
      <c r="M90" s="261">
        <f>'Carga Flex'!M142</f>
        <v>0</v>
      </c>
      <c r="N90" s="23">
        <f t="shared" si="11"/>
        <v>0</v>
      </c>
      <c r="O90" s="25">
        <f aca="true" t="shared" si="17" ref="O90:Q93">ROUND(K90*$Y$6/1000,0)*1000</f>
        <v>0</v>
      </c>
      <c r="P90" s="25">
        <f t="shared" si="17"/>
        <v>0</v>
      </c>
      <c r="Q90" s="25">
        <f t="shared" si="17"/>
        <v>0</v>
      </c>
      <c r="R90" s="269"/>
      <c r="S90" s="162">
        <f>ROUND((I90+J90)*$Y$6/1000,0)*1000</f>
        <v>0</v>
      </c>
      <c r="T90" s="163"/>
      <c r="U90" s="164"/>
      <c r="V90" s="550">
        <f>'Pav Flex'!E30</f>
        <v>0</v>
      </c>
      <c r="W90" s="539">
        <f>$Y$3</f>
        <v>0.04</v>
      </c>
      <c r="X90" s="25">
        <f>V90*365*(1+W90)^($Y$4-$B$5)*((1+W90)^$Y$5-1)/W90*F90/1000</f>
        <v>0</v>
      </c>
      <c r="Y90" s="24"/>
    </row>
    <row r="91" spans="1:25" ht="12.75" hidden="1">
      <c r="A91" s="521"/>
      <c r="B91" s="521"/>
      <c r="C91" s="521"/>
      <c r="D91" s="28" t="s">
        <v>23</v>
      </c>
      <c r="E91" s="29">
        <f>'Carga Flex'!E143</f>
        <v>0</v>
      </c>
      <c r="F91" s="30">
        <f>IF(E91=0,0,E91/SUM(E90:E93))</f>
        <v>0</v>
      </c>
      <c r="G91" s="29">
        <f t="shared" si="13"/>
        <v>0</v>
      </c>
      <c r="H91" s="31">
        <f>'Carga Flex'!H143</f>
        <v>0</v>
      </c>
      <c r="I91" s="31">
        <f>'Carga Flex'!I143</f>
        <v>0</v>
      </c>
      <c r="J91" s="31">
        <f>'Carga Flex'!J143</f>
        <v>0</v>
      </c>
      <c r="K91" s="31">
        <f>'Carga Flex'!K143</f>
        <v>0</v>
      </c>
      <c r="L91" s="31">
        <f>'Carga Flex'!L143</f>
        <v>0</v>
      </c>
      <c r="M91" s="262">
        <f>'Carga Flex'!M143</f>
        <v>0</v>
      </c>
      <c r="N91" s="29">
        <f t="shared" si="11"/>
        <v>0</v>
      </c>
      <c r="O91" s="31">
        <f t="shared" si="17"/>
        <v>0</v>
      </c>
      <c r="P91" s="31">
        <f t="shared" si="17"/>
        <v>0</v>
      </c>
      <c r="Q91" s="31">
        <f t="shared" si="17"/>
        <v>0</v>
      </c>
      <c r="R91" s="270"/>
      <c r="S91" s="165">
        <f>ROUND((I91+J91)*$Y$6/1000,0)*1000</f>
        <v>0</v>
      </c>
      <c r="T91" s="166"/>
      <c r="U91" s="167"/>
      <c r="V91" s="551"/>
      <c r="W91" s="540"/>
      <c r="X91" s="31">
        <f>V90*365*(1+W90)^($Y$4-$B$5)*((1+W90)^$Y$5-1)/W90*F91/1000</f>
        <v>0</v>
      </c>
      <c r="Y91" s="30"/>
    </row>
    <row r="92" spans="1:25" ht="12.75" hidden="1">
      <c r="A92" s="521"/>
      <c r="B92" s="521"/>
      <c r="C92" s="521"/>
      <c r="D92" s="28" t="s">
        <v>24</v>
      </c>
      <c r="E92" s="29">
        <f>'Carga Flex'!E144</f>
        <v>0</v>
      </c>
      <c r="F92" s="30">
        <f>IF(E92=0,0,E92/SUM(E90:E93))</f>
        <v>0</v>
      </c>
      <c r="G92" s="29">
        <f t="shared" si="13"/>
        <v>0</v>
      </c>
      <c r="H92" s="31">
        <f>'Carga Flex'!H144</f>
        <v>0</v>
      </c>
      <c r="I92" s="31">
        <f>'Carga Flex'!I144</f>
        <v>0</v>
      </c>
      <c r="J92" s="31">
        <f>'Carga Flex'!J144</f>
        <v>0</v>
      </c>
      <c r="K92" s="31">
        <f>'Carga Flex'!K144</f>
        <v>0</v>
      </c>
      <c r="L92" s="31">
        <f>'Carga Flex'!L144</f>
        <v>0</v>
      </c>
      <c r="M92" s="262">
        <f>'Carga Flex'!M144</f>
        <v>0</v>
      </c>
      <c r="N92" s="29">
        <f t="shared" si="11"/>
        <v>0</v>
      </c>
      <c r="O92" s="31">
        <f t="shared" si="17"/>
        <v>0</v>
      </c>
      <c r="P92" s="31">
        <f t="shared" si="17"/>
        <v>0</v>
      </c>
      <c r="Q92" s="31">
        <f t="shared" si="17"/>
        <v>0</v>
      </c>
      <c r="R92" s="270"/>
      <c r="S92" s="165">
        <f>ROUND((I92+J92)*$Y$6/1000,0)*1000</f>
        <v>0</v>
      </c>
      <c r="T92" s="166"/>
      <c r="U92" s="167"/>
      <c r="V92" s="551"/>
      <c r="W92" s="540"/>
      <c r="X92" s="31">
        <f>V90*365*(1+W90)^($Y$4-$B$5)*((1+W90)^$Y$5-1)/W90*F92/1000</f>
        <v>0</v>
      </c>
      <c r="Y92" s="30"/>
    </row>
    <row r="93" spans="1:25" ht="12.75" hidden="1">
      <c r="A93" s="522"/>
      <c r="B93" s="522"/>
      <c r="C93" s="522"/>
      <c r="D93" s="34" t="s">
        <v>25</v>
      </c>
      <c r="E93" s="35">
        <f>'Carga Flex'!E145</f>
        <v>0</v>
      </c>
      <c r="F93" s="36">
        <f>IF(E93=0,0,E93/SUM(E90:E93))</f>
        <v>0</v>
      </c>
      <c r="G93" s="35">
        <f t="shared" si="13"/>
        <v>0</v>
      </c>
      <c r="H93" s="37">
        <f>'Carga Flex'!H145</f>
        <v>0</v>
      </c>
      <c r="I93" s="37">
        <f>'Carga Flex'!I145</f>
        <v>0</v>
      </c>
      <c r="J93" s="37">
        <f>'Carga Flex'!J145</f>
        <v>0</v>
      </c>
      <c r="K93" s="37">
        <f>'Carga Flex'!K145</f>
        <v>0</v>
      </c>
      <c r="L93" s="37">
        <f>'Carga Flex'!L145</f>
        <v>0</v>
      </c>
      <c r="M93" s="263">
        <f>'Carga Flex'!M145</f>
        <v>0</v>
      </c>
      <c r="N93" s="35">
        <f t="shared" si="11"/>
        <v>0</v>
      </c>
      <c r="O93" s="37">
        <f t="shared" si="17"/>
        <v>0</v>
      </c>
      <c r="P93" s="37">
        <f t="shared" si="17"/>
        <v>0</v>
      </c>
      <c r="Q93" s="37">
        <f t="shared" si="17"/>
        <v>0</v>
      </c>
      <c r="R93" s="271"/>
      <c r="S93" s="168">
        <f>ROUND((I93+J93)*$Y$6/1000,0)*1000</f>
        <v>0</v>
      </c>
      <c r="T93" s="169"/>
      <c r="U93" s="170"/>
      <c r="V93" s="552"/>
      <c r="W93" s="541"/>
      <c r="X93" s="37">
        <f>V90*365*(1+W90)^($Y$4-$B$5)*((1+W90)^$Y$5-1)/W90*F93/1000</f>
        <v>0</v>
      </c>
      <c r="Y93" s="36"/>
    </row>
    <row r="94" spans="1:25" ht="12.75">
      <c r="A94" s="511" t="s">
        <v>46</v>
      </c>
      <c r="B94" s="512"/>
      <c r="C94" s="237"/>
      <c r="D94" s="22" t="s">
        <v>22</v>
      </c>
      <c r="E94" s="23">
        <f>SUM(E10,E14,E18,E22,E26,E30,E34,E38,E42,E46,E50,E54,E58,E62,E66,E70,E74,E78,E82,E86,E90)</f>
        <v>1137</v>
      </c>
      <c r="F94" s="24">
        <f>IF(E94=0,0,E94/SUM(E94:E97))</f>
        <v>0.05848765432098765</v>
      </c>
      <c r="G94" s="40"/>
      <c r="H94" s="40"/>
      <c r="I94" s="40"/>
      <c r="J94" s="40"/>
      <c r="K94" s="40"/>
      <c r="L94" s="40"/>
      <c r="M94" s="267"/>
      <c r="N94" s="267"/>
      <c r="O94" s="161"/>
      <c r="P94" s="161"/>
      <c r="Q94" s="161"/>
      <c r="R94" s="267"/>
      <c r="S94" s="267"/>
      <c r="T94" s="161"/>
      <c r="U94" s="161"/>
      <c r="V94" s="40"/>
      <c r="W94" s="40"/>
      <c r="X94" s="23">
        <f>SUM(X10,X14,X18,X22,X26,X30,X34,X38,X42,X46,X50,X54,X58,X62,X66,X70,X74,X78,X82,X86,X90)</f>
        <v>438.58101244859233</v>
      </c>
      <c r="Y94" s="24">
        <f>IF(X94=0,0,X94/SUM(X94:X97))</f>
        <v>0.053262945957344696</v>
      </c>
    </row>
    <row r="95" spans="1:25" ht="12.75">
      <c r="A95" s="513"/>
      <c r="B95" s="514"/>
      <c r="C95" s="239"/>
      <c r="D95" s="28" t="s">
        <v>23</v>
      </c>
      <c r="E95" s="29">
        <f>SUM(E11,E15,E19,E23,E27,E31,E35,E39,E43,E47,E51,E55,E59,E63,E67,E71,E75,E79,E83,E87,E91)</f>
        <v>7003</v>
      </c>
      <c r="F95" s="30">
        <f>IF(E95=0,0,E95/SUM(E94:E97))</f>
        <v>0.3602366255144033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297" t="s">
        <v>109</v>
      </c>
      <c r="W95" s="40">
        <f>SUM(X10:X13)*2+SUM(X14:X17)+SUM(X22:X25)*2+SUM(X26:X29)+SUM(X38:X41)*2+SUM(X50:X53)*4+SUM(X54:X57)*2+SUM(X58:X61)</f>
        <v>14484.806881193741</v>
      </c>
      <c r="X95" s="29">
        <f>SUM(X11,X15,X19,X23,X27,X31,X35,X39,X43,X47,X51,X55,X59,X63,X67,X71,X75,X79,X83,X87,X91)</f>
        <v>2886.705128451579</v>
      </c>
      <c r="Y95" s="30">
        <f>IF(X95=0,0,X95/SUM(X94:X97))</f>
        <v>0.35057244816207894</v>
      </c>
    </row>
    <row r="96" spans="1:25" ht="12.75">
      <c r="A96" s="513"/>
      <c r="B96" s="514"/>
      <c r="C96" s="239"/>
      <c r="D96" s="28" t="s">
        <v>24</v>
      </c>
      <c r="E96" s="29">
        <f>SUM(E12,E16,E20,E24,E28,E32,E36,E40,E44,E48,E52,E56,E60,E64,E68,E72,E76,E80,E84,E88,E92)</f>
        <v>7551</v>
      </c>
      <c r="F96" s="30">
        <f>IF(E96=0,0,E96/SUM(E94:E97))</f>
        <v>0.38842592592592595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297" t="s">
        <v>196</v>
      </c>
      <c r="W96" s="40">
        <f>SUM(X14:X17)+SUM(X26:X29)+SUM(X38:X41)+SUM(X58:X61)*2</f>
        <v>4704.692349994179</v>
      </c>
      <c r="X96" s="29">
        <f>SUM(X12,X16,X20,X24,X28,X32,X36,X40,X44,X48,X52,X56,X60,X64,X68,X72,X76,X80,X84,X88,X92)</f>
        <v>3532.511719348435</v>
      </c>
      <c r="Y96" s="30">
        <f>IF(X96=0,0,X96/SUM(X94:X97))</f>
        <v>0.4290016563893004</v>
      </c>
    </row>
    <row r="97" spans="1:25" ht="12.75">
      <c r="A97" s="515"/>
      <c r="B97" s="516"/>
      <c r="C97" s="238"/>
      <c r="D97" s="34" t="s">
        <v>25</v>
      </c>
      <c r="E97" s="35">
        <f>SUM(E13,E17,E21,E25,E29,E33,E37,E41,E45,E49,E53,E57,E61,E65,E69,E73,E77,E81,E85,E89,E93)</f>
        <v>3749</v>
      </c>
      <c r="F97" s="36">
        <f>IF(E97=0,0,E97/SUM(E94:E97))</f>
        <v>0.19284979423868312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297" t="s">
        <v>113</v>
      </c>
      <c r="W97" s="40">
        <f>SUM(X54:X57)</f>
        <v>482.7539329062204</v>
      </c>
      <c r="X97" s="35">
        <f>SUM(X13,X17,X21,X25,X29,X33,X37,X41,X45,X49,X53,X57,X61,X65,X69,X73,X77,X81,X85,X89,X93)</f>
        <v>1376.4633989732786</v>
      </c>
      <c r="Y97" s="36">
        <f>IF(X97=0,0,X97/SUM(X94:X97))</f>
        <v>0.167162949491276</v>
      </c>
    </row>
    <row r="98" spans="23:25" ht="12.75">
      <c r="W98" s="40">
        <f>SUM(W95:W97)</f>
        <v>19672.253164094138</v>
      </c>
      <c r="X98" s="40">
        <f>SUM(X94:X97)</f>
        <v>8234.261259221885</v>
      </c>
      <c r="Y98" s="161"/>
    </row>
    <row r="99" ht="12.75">
      <c r="X99" s="161"/>
    </row>
  </sheetData>
  <sheetProtection/>
  <mergeCells count="114">
    <mergeCell ref="C86:C89"/>
    <mergeCell ref="C90:C93"/>
    <mergeCell ref="A7:C8"/>
    <mergeCell ref="C58:C61"/>
    <mergeCell ref="C70:C73"/>
    <mergeCell ref="C74:C77"/>
    <mergeCell ref="C78:C81"/>
    <mergeCell ref="C82:C85"/>
    <mergeCell ref="C50:C53"/>
    <mergeCell ref="C54:C57"/>
    <mergeCell ref="C66:C69"/>
    <mergeCell ref="C34:C37"/>
    <mergeCell ref="C38:C41"/>
    <mergeCell ref="C42:C45"/>
    <mergeCell ref="C46:C49"/>
    <mergeCell ref="C22:C25"/>
    <mergeCell ref="C26:C29"/>
    <mergeCell ref="C30:C33"/>
    <mergeCell ref="C62:C65"/>
    <mergeCell ref="V90:V93"/>
    <mergeCell ref="W90:W93"/>
    <mergeCell ref="V82:V85"/>
    <mergeCell ref="W82:W85"/>
    <mergeCell ref="V86:V89"/>
    <mergeCell ref="W86:W89"/>
    <mergeCell ref="V74:V77"/>
    <mergeCell ref="W74:W77"/>
    <mergeCell ref="V78:V81"/>
    <mergeCell ref="W78:W81"/>
    <mergeCell ref="V66:V69"/>
    <mergeCell ref="W66:W69"/>
    <mergeCell ref="V70:V73"/>
    <mergeCell ref="W70:W73"/>
    <mergeCell ref="V58:V61"/>
    <mergeCell ref="W58:W61"/>
    <mergeCell ref="V62:V65"/>
    <mergeCell ref="W62:W65"/>
    <mergeCell ref="V50:V53"/>
    <mergeCell ref="W50:W53"/>
    <mergeCell ref="V54:V57"/>
    <mergeCell ref="W54:W57"/>
    <mergeCell ref="V42:V45"/>
    <mergeCell ref="W42:W45"/>
    <mergeCell ref="V46:V49"/>
    <mergeCell ref="W46:W49"/>
    <mergeCell ref="V34:V37"/>
    <mergeCell ref="W34:W37"/>
    <mergeCell ref="V38:V41"/>
    <mergeCell ref="W38:W41"/>
    <mergeCell ref="V26:V29"/>
    <mergeCell ref="W26:W29"/>
    <mergeCell ref="V30:V33"/>
    <mergeCell ref="W30:W33"/>
    <mergeCell ref="V18:V21"/>
    <mergeCell ref="V22:V25"/>
    <mergeCell ref="W10:W13"/>
    <mergeCell ref="W14:W17"/>
    <mergeCell ref="W18:W21"/>
    <mergeCell ref="W22:W25"/>
    <mergeCell ref="V7:Y8"/>
    <mergeCell ref="V10:V13"/>
    <mergeCell ref="V14:V17"/>
    <mergeCell ref="N8:U8"/>
    <mergeCell ref="A14:A17"/>
    <mergeCell ref="B14:B17"/>
    <mergeCell ref="B10:B13"/>
    <mergeCell ref="A10:A13"/>
    <mergeCell ref="D7:F8"/>
    <mergeCell ref="N7:U7"/>
    <mergeCell ref="C10:C13"/>
    <mergeCell ref="C14:C17"/>
    <mergeCell ref="A26:A29"/>
    <mergeCell ref="B26:B29"/>
    <mergeCell ref="A18:A21"/>
    <mergeCell ref="B18:B21"/>
    <mergeCell ref="A22:A25"/>
    <mergeCell ref="B22:B25"/>
    <mergeCell ref="B46:B49"/>
    <mergeCell ref="A50:A53"/>
    <mergeCell ref="B50:B53"/>
    <mergeCell ref="C18:C21"/>
    <mergeCell ref="A30:A33"/>
    <mergeCell ref="B30:B33"/>
    <mergeCell ref="A34:A37"/>
    <mergeCell ref="B34:B37"/>
    <mergeCell ref="A38:A41"/>
    <mergeCell ref="B38:B41"/>
    <mergeCell ref="B58:B61"/>
    <mergeCell ref="A1:Y1"/>
    <mergeCell ref="A82:A85"/>
    <mergeCell ref="B82:B85"/>
    <mergeCell ref="A70:A73"/>
    <mergeCell ref="B70:B73"/>
    <mergeCell ref="A74:A77"/>
    <mergeCell ref="A42:A45"/>
    <mergeCell ref="B42:B45"/>
    <mergeCell ref="A46:A49"/>
    <mergeCell ref="B74:B77"/>
    <mergeCell ref="A62:A65"/>
    <mergeCell ref="B62:B65"/>
    <mergeCell ref="A66:A69"/>
    <mergeCell ref="G7:M7"/>
    <mergeCell ref="G8:M8"/>
    <mergeCell ref="B66:B69"/>
    <mergeCell ref="A54:A57"/>
    <mergeCell ref="B54:B57"/>
    <mergeCell ref="A58:A61"/>
    <mergeCell ref="A94:B97"/>
    <mergeCell ref="A86:A89"/>
    <mergeCell ref="B86:B89"/>
    <mergeCell ref="A90:A93"/>
    <mergeCell ref="B90:B93"/>
    <mergeCell ref="A78:A81"/>
    <mergeCell ref="B78:B81"/>
  </mergeCells>
  <printOptions horizontalCentered="1"/>
  <pageMargins left="0.5905511811023622" right="0.5905511811023622" top="0.984251968503937" bottom="0.5905511811023622" header="0" footer="0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="80" zoomScaleNormal="80" zoomScalePageLayoutView="0" workbookViewId="0" topLeftCell="A83">
      <selection activeCell="G99" sqref="G99"/>
    </sheetView>
  </sheetViews>
  <sheetFormatPr defaultColWidth="11.421875" defaultRowHeight="12.75"/>
  <cols>
    <col min="1" max="3" width="7.7109375" style="0" customWidth="1"/>
    <col min="4" max="13" width="8.28125" style="0" customWidth="1"/>
    <col min="14" max="15" width="9.7109375" style="0" customWidth="1"/>
    <col min="16" max="20" width="7.7109375" style="0" customWidth="1"/>
    <col min="21" max="22" width="8.28125" style="0" customWidth="1"/>
  </cols>
  <sheetData>
    <row r="1" spans="1:22" ht="15.75">
      <c r="A1" s="582" t="s">
        <v>79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240"/>
      <c r="Q1" s="240"/>
      <c r="R1" s="240"/>
      <c r="S1" s="240"/>
      <c r="T1" s="240"/>
      <c r="U1" s="240"/>
      <c r="V1" s="240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N2" s="105" t="s">
        <v>181</v>
      </c>
      <c r="O2" s="206">
        <v>0.05</v>
      </c>
    </row>
    <row r="3" spans="1:15" ht="12.75">
      <c r="A3" s="58" t="s">
        <v>209</v>
      </c>
      <c r="B3" s="57"/>
      <c r="C3" s="57"/>
      <c r="D3" s="57"/>
      <c r="E3" s="57"/>
      <c r="F3" s="57"/>
      <c r="G3" s="57"/>
      <c r="H3" s="57"/>
      <c r="I3" s="57"/>
      <c r="J3" s="57"/>
      <c r="K3" s="57"/>
      <c r="N3" s="105" t="s">
        <v>180</v>
      </c>
      <c r="O3" s="206">
        <v>0.04</v>
      </c>
    </row>
    <row r="4" spans="1:15" ht="12.75">
      <c r="A4" s="59" t="s">
        <v>208</v>
      </c>
      <c r="B4" s="60"/>
      <c r="C4" s="60"/>
      <c r="D4" s="60"/>
      <c r="E4" s="60"/>
      <c r="F4" s="60"/>
      <c r="G4" s="60"/>
      <c r="H4" s="60"/>
      <c r="I4" s="60"/>
      <c r="J4" s="60"/>
      <c r="K4" s="60"/>
      <c r="N4" s="105" t="s">
        <v>71</v>
      </c>
      <c r="O4" s="207">
        <v>2012</v>
      </c>
    </row>
    <row r="5" spans="1:15" ht="12.75">
      <c r="A5" s="59" t="s">
        <v>72</v>
      </c>
      <c r="B5" s="59">
        <v>2008</v>
      </c>
      <c r="C5" s="60"/>
      <c r="D5" s="60"/>
      <c r="E5" s="60"/>
      <c r="F5" s="60"/>
      <c r="G5" s="60"/>
      <c r="H5" s="242" t="s">
        <v>63</v>
      </c>
      <c r="I5" s="243">
        <f>D38</f>
        <v>5.15</v>
      </c>
      <c r="J5" s="242" t="s">
        <v>63</v>
      </c>
      <c r="K5" s="243">
        <v>4</v>
      </c>
      <c r="N5" s="105" t="s">
        <v>179</v>
      </c>
      <c r="O5" s="207">
        <v>15</v>
      </c>
    </row>
    <row r="6" spans="8:11" ht="12.75">
      <c r="H6" s="244" t="s">
        <v>64</v>
      </c>
      <c r="I6" s="245">
        <f>D39</f>
        <v>2.5</v>
      </c>
      <c r="J6" s="244" t="s">
        <v>64</v>
      </c>
      <c r="K6" s="245">
        <v>2</v>
      </c>
    </row>
    <row r="7" spans="1:15" ht="39" customHeight="1">
      <c r="A7" s="569" t="s">
        <v>49</v>
      </c>
      <c r="B7" s="570"/>
      <c r="C7" s="571"/>
      <c r="D7" s="569" t="s">
        <v>50</v>
      </c>
      <c r="E7" s="570"/>
      <c r="F7" s="570"/>
      <c r="G7" s="571"/>
      <c r="H7" s="569" t="s">
        <v>211</v>
      </c>
      <c r="I7" s="571"/>
      <c r="J7" s="569" t="s">
        <v>212</v>
      </c>
      <c r="K7" s="571"/>
      <c r="L7" s="584" t="s">
        <v>70</v>
      </c>
      <c r="M7" s="576" t="s">
        <v>163</v>
      </c>
      <c r="N7" s="566" t="s">
        <v>69</v>
      </c>
      <c r="O7" s="567"/>
    </row>
    <row r="8" spans="1:15" ht="12.75">
      <c r="A8" s="575" t="s">
        <v>52</v>
      </c>
      <c r="B8" s="574"/>
      <c r="C8" s="559"/>
      <c r="D8" s="568" t="s">
        <v>210</v>
      </c>
      <c r="E8" s="574"/>
      <c r="F8" s="572" t="s">
        <v>51</v>
      </c>
      <c r="G8" s="573"/>
      <c r="H8" s="568" t="s">
        <v>210</v>
      </c>
      <c r="I8" s="574"/>
      <c r="J8" s="568" t="s">
        <v>210</v>
      </c>
      <c r="K8" s="574"/>
      <c r="L8" s="585"/>
      <c r="M8" s="577"/>
      <c r="N8" s="568" t="s">
        <v>210</v>
      </c>
      <c r="O8" s="559"/>
    </row>
    <row r="9" spans="1:15" ht="12.75">
      <c r="A9" s="43" t="s">
        <v>53</v>
      </c>
      <c r="B9" s="44" t="s">
        <v>1</v>
      </c>
      <c r="C9" s="45" t="s">
        <v>2</v>
      </c>
      <c r="D9" s="43" t="s">
        <v>53</v>
      </c>
      <c r="E9" s="45" t="s">
        <v>1</v>
      </c>
      <c r="F9" s="43" t="s">
        <v>53</v>
      </c>
      <c r="G9" s="45" t="s">
        <v>1</v>
      </c>
      <c r="H9" s="43" t="s">
        <v>53</v>
      </c>
      <c r="I9" s="45" t="s">
        <v>1</v>
      </c>
      <c r="J9" s="43" t="s">
        <v>53</v>
      </c>
      <c r="K9" s="45" t="s">
        <v>1</v>
      </c>
      <c r="L9" s="586"/>
      <c r="M9" s="578"/>
      <c r="N9" s="43" t="s">
        <v>53</v>
      </c>
      <c r="O9" s="45" t="s">
        <v>1</v>
      </c>
    </row>
    <row r="10" spans="1:17" ht="12.75">
      <c r="A10" s="564">
        <v>4</v>
      </c>
      <c r="B10" s="47">
        <v>6</v>
      </c>
      <c r="C10" s="48" t="s">
        <v>21</v>
      </c>
      <c r="D10" s="557">
        <f>E10+E11+E12</f>
        <v>51</v>
      </c>
      <c r="E10" s="241">
        <v>7</v>
      </c>
      <c r="F10" s="565">
        <f>G10+G11+G12</f>
        <v>0.16612377850162868</v>
      </c>
      <c r="G10" s="52">
        <f>E10/$D$31</f>
        <v>0.02280130293159609</v>
      </c>
      <c r="H10" s="557">
        <f>I10+I11+I12</f>
        <v>14610.414743515488</v>
      </c>
      <c r="I10" s="50">
        <f>E10*'Carga Flex'!AG10*365</f>
        <v>3884.5905362588323</v>
      </c>
      <c r="J10" s="557">
        <f>K10+K11+K12</f>
        <v>0</v>
      </c>
      <c r="K10" s="50">
        <f>E10*'Carga Flex'!AK10*365</f>
        <v>0</v>
      </c>
      <c r="L10" s="146">
        <f>$O$2</f>
        <v>0.05</v>
      </c>
      <c r="M10" s="250">
        <f>(1+L10)^($O$4-$B$5)*((1+L10)^$O$5-1)/L10</f>
        <v>26.22887890751278</v>
      </c>
      <c r="N10" s="579">
        <f>O10+O11+O12</f>
        <v>383214.79909620713</v>
      </c>
      <c r="O10" s="50">
        <f>I10*M10</f>
        <v>101888.45478080305</v>
      </c>
      <c r="P10" s="159"/>
      <c r="Q10">
        <f>+(1+L10)^($O$4-$B$5)*((1+L10)*(O5-1)/L10)</f>
        <v>357.3588375</v>
      </c>
    </row>
    <row r="11" spans="1:16" ht="12.75">
      <c r="A11" s="564"/>
      <c r="B11" s="47">
        <v>7</v>
      </c>
      <c r="C11" s="48" t="s">
        <v>26</v>
      </c>
      <c r="D11" s="557"/>
      <c r="E11" s="241">
        <v>41</v>
      </c>
      <c r="F11" s="565"/>
      <c r="G11" s="52">
        <f aca="true" t="shared" si="0" ref="G11:G30">E11/$D$31</f>
        <v>0.13355048859934854</v>
      </c>
      <c r="H11" s="557"/>
      <c r="I11" s="50">
        <f>E11*'Carga Flex'!AG14*365</f>
        <v>10611.837349752963</v>
      </c>
      <c r="J11" s="557"/>
      <c r="K11" s="50">
        <f>E11*'Carga Flex'!AK14*365</f>
        <v>0</v>
      </c>
      <c r="L11" s="146">
        <f>$O$2</f>
        <v>0.05</v>
      </c>
      <c r="M11" s="250">
        <f aca="true" t="shared" si="1" ref="M11:M30">(1+L11)^($O$4-$B$5)*((1+L11)^$O$5-1)/L11</f>
        <v>26.22887890751278</v>
      </c>
      <c r="N11" s="579"/>
      <c r="O11" s="50">
        <f aca="true" t="shared" si="2" ref="O11:O30">I11*M11</f>
        <v>278336.5968328918</v>
      </c>
      <c r="P11" s="159"/>
    </row>
    <row r="12" spans="1:16" ht="12.75">
      <c r="A12" s="564"/>
      <c r="B12" s="47">
        <v>8</v>
      </c>
      <c r="C12" s="48" t="s">
        <v>27</v>
      </c>
      <c r="D12" s="557"/>
      <c r="E12" s="241">
        <v>3</v>
      </c>
      <c r="F12" s="565"/>
      <c r="G12" s="52">
        <f t="shared" si="0"/>
        <v>0.009771986970684038</v>
      </c>
      <c r="H12" s="557"/>
      <c r="I12" s="50">
        <f>E12*'Carga Flex'!AG22*365</f>
        <v>113.98685750369168</v>
      </c>
      <c r="J12" s="557"/>
      <c r="K12" s="50">
        <f>E12*'Carga Flex'!AK18*365</f>
        <v>0</v>
      </c>
      <c r="L12" s="146">
        <f>$O$2</f>
        <v>0.05</v>
      </c>
      <c r="M12" s="250">
        <f t="shared" si="1"/>
        <v>26.22887890751278</v>
      </c>
      <c r="N12" s="579"/>
      <c r="O12" s="50">
        <f t="shared" si="2"/>
        <v>2989.7474825122436</v>
      </c>
      <c r="P12" s="159"/>
    </row>
    <row r="13" spans="1:16" ht="12.75">
      <c r="A13" s="46">
        <v>5</v>
      </c>
      <c r="B13" s="47">
        <v>9</v>
      </c>
      <c r="C13" s="48" t="s">
        <v>28</v>
      </c>
      <c r="D13" s="49">
        <f>E13</f>
        <v>46</v>
      </c>
      <c r="E13" s="241">
        <v>46</v>
      </c>
      <c r="F13" s="51">
        <f>G13</f>
        <v>0.1498371335504886</v>
      </c>
      <c r="G13" s="52">
        <f t="shared" si="0"/>
        <v>0.1498371335504886</v>
      </c>
      <c r="H13" s="49">
        <f>I13</f>
        <v>19916.3005103173</v>
      </c>
      <c r="I13" s="50">
        <f>E13*'Carga Flex'!AG26*365</f>
        <v>19916.3005103173</v>
      </c>
      <c r="J13" s="49">
        <f>K13</f>
        <v>0</v>
      </c>
      <c r="K13" s="50">
        <f>E13*'Carga Flex'!AK26*365</f>
        <v>0</v>
      </c>
      <c r="L13" s="146">
        <f aca="true" t="shared" si="3" ref="L13:L30">$O$3</f>
        <v>0.04</v>
      </c>
      <c r="M13" s="250">
        <f t="shared" si="1"/>
        <v>23.424765399841846</v>
      </c>
      <c r="N13" s="49">
        <f>O13</f>
        <v>466534.6670869332</v>
      </c>
      <c r="O13" s="50">
        <f t="shared" si="2"/>
        <v>466534.6670869332</v>
      </c>
      <c r="P13" s="159"/>
    </row>
    <row r="14" spans="1:16" ht="12.75">
      <c r="A14" s="46">
        <v>6</v>
      </c>
      <c r="B14" s="47">
        <v>10</v>
      </c>
      <c r="C14" s="48" t="s">
        <v>29</v>
      </c>
      <c r="D14" s="49">
        <f>E14</f>
        <v>18</v>
      </c>
      <c r="E14" s="241">
        <v>18</v>
      </c>
      <c r="F14" s="51">
        <f>G14</f>
        <v>0.05863192182410423</v>
      </c>
      <c r="G14" s="52">
        <f t="shared" si="0"/>
        <v>0.05863192182410423</v>
      </c>
      <c r="H14" s="49">
        <f>I14</f>
        <v>14835.260245277424</v>
      </c>
      <c r="I14" s="50">
        <f>E14*'Carga Flex'!AG30*365</f>
        <v>14835.260245277424</v>
      </c>
      <c r="J14" s="49">
        <f>K14</f>
        <v>0</v>
      </c>
      <c r="K14" s="50">
        <f>E14*'Carga Flex'!AK30*365</f>
        <v>0</v>
      </c>
      <c r="L14" s="146">
        <f t="shared" si="3"/>
        <v>0.04</v>
      </c>
      <c r="M14" s="250">
        <f t="shared" si="1"/>
        <v>23.424765399841846</v>
      </c>
      <c r="N14" s="49">
        <f>O14</f>
        <v>347512.4908912239</v>
      </c>
      <c r="O14" s="50">
        <f t="shared" si="2"/>
        <v>347512.4908912239</v>
      </c>
      <c r="P14" s="159"/>
    </row>
    <row r="15" spans="1:16" ht="12.75">
      <c r="A15" s="564">
        <v>7</v>
      </c>
      <c r="B15" s="47">
        <v>11</v>
      </c>
      <c r="C15" s="48" t="s">
        <v>30</v>
      </c>
      <c r="D15" s="557">
        <f>E15+E16</f>
        <v>4</v>
      </c>
      <c r="E15" s="241"/>
      <c r="F15" s="565">
        <f>G15+G16</f>
        <v>0.013029315960912053</v>
      </c>
      <c r="G15" s="52">
        <f t="shared" si="0"/>
        <v>0</v>
      </c>
      <c r="H15" s="557">
        <f>I15+I16</f>
        <v>0</v>
      </c>
      <c r="I15" s="50">
        <f>E15*'Carga Flex'!AG42*365</f>
        <v>0</v>
      </c>
      <c r="J15" s="557">
        <f>K15+K16</f>
        <v>0</v>
      </c>
      <c r="K15" s="50">
        <f>E15*'Carga Flex'!AK34*365</f>
        <v>0</v>
      </c>
      <c r="L15" s="146">
        <f t="shared" si="3"/>
        <v>0.04</v>
      </c>
      <c r="M15" s="250">
        <f t="shared" si="1"/>
        <v>23.424765399841846</v>
      </c>
      <c r="N15" s="557">
        <f>O15+O16</f>
        <v>0</v>
      </c>
      <c r="O15" s="50">
        <f t="shared" si="2"/>
        <v>0</v>
      </c>
      <c r="P15" s="159"/>
    </row>
    <row r="16" spans="1:16" ht="12.75">
      <c r="A16" s="564"/>
      <c r="B16" s="47">
        <v>12</v>
      </c>
      <c r="C16" s="48" t="s">
        <v>31</v>
      </c>
      <c r="D16" s="557"/>
      <c r="E16" s="241">
        <v>4</v>
      </c>
      <c r="F16" s="565"/>
      <c r="G16" s="52">
        <f t="shared" si="0"/>
        <v>0.013029315960912053</v>
      </c>
      <c r="H16" s="557"/>
      <c r="I16" s="50">
        <f>E16*'Carga Flex'!AG46*365</f>
        <v>0</v>
      </c>
      <c r="J16" s="557"/>
      <c r="K16" s="50">
        <f>E16*'Carga Flex'!AK38*365</f>
        <v>0</v>
      </c>
      <c r="L16" s="146">
        <f t="shared" si="3"/>
        <v>0.04</v>
      </c>
      <c r="M16" s="250">
        <f t="shared" si="1"/>
        <v>23.424765399841846</v>
      </c>
      <c r="N16" s="557"/>
      <c r="O16" s="50">
        <f t="shared" si="2"/>
        <v>0</v>
      </c>
      <c r="P16" s="159"/>
    </row>
    <row r="17" spans="1:16" ht="12.75">
      <c r="A17" s="564">
        <v>8</v>
      </c>
      <c r="B17" s="47">
        <v>13</v>
      </c>
      <c r="C17" s="48" t="s">
        <v>32</v>
      </c>
      <c r="D17" s="557">
        <f>E17+E18</f>
        <v>34</v>
      </c>
      <c r="E17" s="241">
        <v>34</v>
      </c>
      <c r="F17" s="565">
        <f>G17+G18</f>
        <v>0.11074918566775244</v>
      </c>
      <c r="G17" s="52">
        <f t="shared" si="0"/>
        <v>0.11074918566775244</v>
      </c>
      <c r="H17" s="557">
        <f>I17+I18</f>
        <v>29421.44711986454</v>
      </c>
      <c r="I17" s="50">
        <f>E17*'Carga Flex'!AG50*365</f>
        <v>29421.44711986454</v>
      </c>
      <c r="J17" s="557">
        <f>K17+K18</f>
        <v>0</v>
      </c>
      <c r="K17" s="50">
        <f>E17*'Carga Flex'!AK50*365</f>
        <v>0</v>
      </c>
      <c r="L17" s="146">
        <f t="shared" si="3"/>
        <v>0.04</v>
      </c>
      <c r="M17" s="250">
        <f t="shared" si="1"/>
        <v>23.424765399841846</v>
      </c>
      <c r="N17" s="557">
        <f>O17+O18</f>
        <v>689190.4965066795</v>
      </c>
      <c r="O17" s="50">
        <f t="shared" si="2"/>
        <v>689190.4965066795</v>
      </c>
      <c r="P17" s="159"/>
    </row>
    <row r="18" spans="1:16" ht="12.75">
      <c r="A18" s="564"/>
      <c r="B18" s="47">
        <v>14</v>
      </c>
      <c r="C18" s="48" t="s">
        <v>33</v>
      </c>
      <c r="D18" s="557"/>
      <c r="E18" s="241"/>
      <c r="F18" s="565"/>
      <c r="G18" s="52">
        <f t="shared" si="0"/>
        <v>0</v>
      </c>
      <c r="H18" s="557"/>
      <c r="I18" s="50">
        <f>E18*'Carga Flex'!AG62*365</f>
        <v>0</v>
      </c>
      <c r="J18" s="557"/>
      <c r="K18" s="50">
        <f>E18*'Carga Flex'!AK54*365</f>
        <v>0</v>
      </c>
      <c r="L18" s="146">
        <f t="shared" si="3"/>
        <v>0.04</v>
      </c>
      <c r="M18" s="250">
        <f t="shared" si="1"/>
        <v>23.424765399841846</v>
      </c>
      <c r="N18" s="557"/>
      <c r="O18" s="50">
        <f t="shared" si="2"/>
        <v>0</v>
      </c>
      <c r="P18" s="159"/>
    </row>
    <row r="19" spans="1:16" ht="12.75">
      <c r="A19" s="564">
        <v>9</v>
      </c>
      <c r="B19" s="47">
        <v>15</v>
      </c>
      <c r="C19" s="48" t="s">
        <v>34</v>
      </c>
      <c r="D19" s="557">
        <f>E19+E20</f>
        <v>20</v>
      </c>
      <c r="E19" s="241">
        <v>6</v>
      </c>
      <c r="F19" s="565">
        <f>G19+G20</f>
        <v>0.06514657980456026</v>
      </c>
      <c r="G19" s="52">
        <f t="shared" si="0"/>
        <v>0.019543973941368076</v>
      </c>
      <c r="H19" s="557">
        <f>I19+I20</f>
        <v>8021.271460943321</v>
      </c>
      <c r="I19" s="50">
        <f>E19*'Carga Flex'!AG66*365</f>
        <v>100.4379150765302</v>
      </c>
      <c r="J19" s="557">
        <f>K19+K20</f>
        <v>0</v>
      </c>
      <c r="K19" s="50">
        <f>E19*'Carga Flex'!AK58*365</f>
        <v>0</v>
      </c>
      <c r="L19" s="146">
        <f t="shared" si="3"/>
        <v>0.04</v>
      </c>
      <c r="M19" s="250">
        <f t="shared" si="1"/>
        <v>23.424765399841846</v>
      </c>
      <c r="N19" s="557">
        <f>O19+O20</f>
        <v>187896.40218104396</v>
      </c>
      <c r="O19" s="50">
        <f t="shared" si="2"/>
        <v>2352.734597916958</v>
      </c>
      <c r="P19" s="159"/>
    </row>
    <row r="20" spans="1:16" ht="12.75">
      <c r="A20" s="564"/>
      <c r="B20" s="47">
        <v>16</v>
      </c>
      <c r="C20" s="48" t="s">
        <v>35</v>
      </c>
      <c r="D20" s="557"/>
      <c r="E20" s="241">
        <v>14</v>
      </c>
      <c r="F20" s="565"/>
      <c r="G20" s="52">
        <f t="shared" si="0"/>
        <v>0.04560260586319218</v>
      </c>
      <c r="H20" s="557"/>
      <c r="I20" s="50">
        <f>E20*'Carga Flex'!AG70*365</f>
        <v>7920.833545866791</v>
      </c>
      <c r="J20" s="557"/>
      <c r="K20" s="50">
        <f>E20*'Carga Flex'!AK70*365</f>
        <v>0</v>
      </c>
      <c r="L20" s="146">
        <f t="shared" si="3"/>
        <v>0.04</v>
      </c>
      <c r="M20" s="250">
        <f t="shared" si="1"/>
        <v>23.424765399841846</v>
      </c>
      <c r="N20" s="557"/>
      <c r="O20" s="50">
        <f t="shared" si="2"/>
        <v>185543.667583127</v>
      </c>
      <c r="P20" s="159"/>
    </row>
    <row r="21" spans="1:16" ht="12.75">
      <c r="A21" s="564">
        <v>10</v>
      </c>
      <c r="B21" s="47">
        <v>17</v>
      </c>
      <c r="C21" s="48" t="s">
        <v>36</v>
      </c>
      <c r="D21" s="557">
        <f>E21+E22</f>
        <v>25</v>
      </c>
      <c r="E21" s="241">
        <v>11</v>
      </c>
      <c r="F21" s="565">
        <f>G21+G22</f>
        <v>0.08143322475570033</v>
      </c>
      <c r="G21" s="52">
        <f t="shared" si="0"/>
        <v>0.035830618892508145</v>
      </c>
      <c r="H21" s="557">
        <f>I21+I22</f>
        <v>14108.924878949645</v>
      </c>
      <c r="I21" s="50">
        <f>E21*'Carga Flex'!AG74*365</f>
        <v>7624.813187201638</v>
      </c>
      <c r="J21" s="557">
        <f>K21+K22</f>
        <v>0</v>
      </c>
      <c r="K21" s="50">
        <f>E21*'Carga Flex'!AK74*365</f>
        <v>0</v>
      </c>
      <c r="L21" s="146">
        <f t="shared" si="3"/>
        <v>0.04</v>
      </c>
      <c r="M21" s="250">
        <f t="shared" si="1"/>
        <v>23.424765399841846</v>
      </c>
      <c r="N21" s="557">
        <f>O21+O22</f>
        <v>330498.2553333874</v>
      </c>
      <c r="O21" s="50">
        <f t="shared" si="2"/>
        <v>178609.46012781878</v>
      </c>
      <c r="P21" s="159"/>
    </row>
    <row r="22" spans="1:16" ht="12.75">
      <c r="A22" s="564"/>
      <c r="B22" s="47">
        <v>18</v>
      </c>
      <c r="C22" s="48" t="s">
        <v>37</v>
      </c>
      <c r="D22" s="557"/>
      <c r="E22" s="241">
        <v>14</v>
      </c>
      <c r="F22" s="565"/>
      <c r="G22" s="52">
        <f t="shared" si="0"/>
        <v>0.04560260586319218</v>
      </c>
      <c r="H22" s="557"/>
      <c r="I22" s="50">
        <f>E22*'Carga Flex'!AG78*365</f>
        <v>6484.111691748006</v>
      </c>
      <c r="J22" s="557"/>
      <c r="K22" s="50">
        <f>E22*'Carga Flex'!AK110*365</f>
        <v>0</v>
      </c>
      <c r="L22" s="146">
        <f t="shared" si="3"/>
        <v>0.04</v>
      </c>
      <c r="M22" s="250">
        <f t="shared" si="1"/>
        <v>23.424765399841846</v>
      </c>
      <c r="N22" s="557"/>
      <c r="O22" s="50">
        <f t="shared" si="2"/>
        <v>151888.79520556866</v>
      </c>
      <c r="P22" s="159"/>
    </row>
    <row r="23" spans="1:16" ht="12.75">
      <c r="A23" s="564">
        <v>11</v>
      </c>
      <c r="B23" s="47">
        <v>19</v>
      </c>
      <c r="C23" s="48" t="s">
        <v>38</v>
      </c>
      <c r="D23" s="557">
        <f>E23+E24+E25</f>
        <v>39</v>
      </c>
      <c r="E23" s="241">
        <v>4</v>
      </c>
      <c r="F23" s="565">
        <f>G23+G24+G25</f>
        <v>0.1270358306188925</v>
      </c>
      <c r="G23" s="52">
        <f t="shared" si="0"/>
        <v>0.013029315960912053</v>
      </c>
      <c r="H23" s="557">
        <f>I23+I24+I25</f>
        <v>46767.72838384514</v>
      </c>
      <c r="I23" s="50">
        <f>E23*'Carga Flex'!AG82*365</f>
        <v>7102.16613750279</v>
      </c>
      <c r="J23" s="557">
        <f>K23+K24+K25</f>
        <v>0</v>
      </c>
      <c r="K23" s="50">
        <f>E23*'Carga Flex'!AK114*365</f>
        <v>0</v>
      </c>
      <c r="L23" s="146">
        <f t="shared" si="3"/>
        <v>0.04</v>
      </c>
      <c r="M23" s="250">
        <f t="shared" si="1"/>
        <v>23.424765399841846</v>
      </c>
      <c r="N23" s="557">
        <f>O23+O24+O25</f>
        <v>1095523.065675097</v>
      </c>
      <c r="O23" s="50">
        <f t="shared" si="2"/>
        <v>166366.57560170375</v>
      </c>
      <c r="P23" s="159"/>
    </row>
    <row r="24" spans="1:16" ht="12.75">
      <c r="A24" s="564"/>
      <c r="B24" s="47">
        <v>20</v>
      </c>
      <c r="C24" s="48" t="s">
        <v>39</v>
      </c>
      <c r="D24" s="557"/>
      <c r="E24" s="241">
        <v>18</v>
      </c>
      <c r="F24" s="565"/>
      <c r="G24" s="52">
        <f t="shared" si="0"/>
        <v>0.05863192182410423</v>
      </c>
      <c r="H24" s="557"/>
      <c r="I24" s="50">
        <f>E24*'Carga Flex'!AG86*365</f>
        <v>25445.7182685189</v>
      </c>
      <c r="J24" s="557"/>
      <c r="K24" s="50">
        <f>E24*'Carga Flex'!AK118*365</f>
        <v>0</v>
      </c>
      <c r="L24" s="146">
        <f t="shared" si="3"/>
        <v>0.04</v>
      </c>
      <c r="M24" s="250">
        <f t="shared" si="1"/>
        <v>23.424765399841846</v>
      </c>
      <c r="N24" s="557"/>
      <c r="O24" s="50">
        <f t="shared" si="2"/>
        <v>596059.9808705251</v>
      </c>
      <c r="P24" s="159"/>
    </row>
    <row r="25" spans="1:16" ht="12.75">
      <c r="A25" s="564"/>
      <c r="B25" s="47">
        <v>21</v>
      </c>
      <c r="C25" s="48" t="s">
        <v>40</v>
      </c>
      <c r="D25" s="557"/>
      <c r="E25" s="241">
        <v>17</v>
      </c>
      <c r="F25" s="565"/>
      <c r="G25" s="52">
        <f t="shared" si="0"/>
        <v>0.05537459283387622</v>
      </c>
      <c r="H25" s="557"/>
      <c r="I25" s="50">
        <f>E25*'Carga Flex'!AG90*365</f>
        <v>14219.84397782345</v>
      </c>
      <c r="J25" s="557"/>
      <c r="K25" s="50">
        <f>E25*'Carga Flex'!AK122*365</f>
        <v>0</v>
      </c>
      <c r="L25" s="146">
        <f t="shared" si="3"/>
        <v>0.04</v>
      </c>
      <c r="M25" s="250">
        <f t="shared" si="1"/>
        <v>23.424765399841846</v>
      </c>
      <c r="N25" s="557"/>
      <c r="O25" s="50">
        <f t="shared" si="2"/>
        <v>333096.50920286815</v>
      </c>
      <c r="P25" s="159"/>
    </row>
    <row r="26" spans="1:16" ht="12.75">
      <c r="A26" s="564">
        <v>12</v>
      </c>
      <c r="B26" s="47">
        <v>22</v>
      </c>
      <c r="C26" s="48" t="s">
        <v>41</v>
      </c>
      <c r="D26" s="557">
        <f>E26+E27+E28</f>
        <v>70</v>
      </c>
      <c r="E26" s="241">
        <v>46</v>
      </c>
      <c r="F26" s="565">
        <f>G26+G27+G28</f>
        <v>0.2280130293159609</v>
      </c>
      <c r="G26" s="52">
        <f t="shared" si="0"/>
        <v>0.1498371335504886</v>
      </c>
      <c r="H26" s="557">
        <f>I26+I27+I28</f>
        <v>108896.69803595377</v>
      </c>
      <c r="I26" s="50">
        <f>E26*'Carga Flex'!AG94*365</f>
        <v>81238.9419916827</v>
      </c>
      <c r="J26" s="557">
        <f>K26+K27+K28</f>
        <v>0</v>
      </c>
      <c r="K26" s="50">
        <f>E26*'Carga Flex'!AK126*365</f>
        <v>0</v>
      </c>
      <c r="L26" s="146">
        <f t="shared" si="3"/>
        <v>0.04</v>
      </c>
      <c r="M26" s="250">
        <f t="shared" si="1"/>
        <v>23.424765399841846</v>
      </c>
      <c r="N26" s="557">
        <f>O26+O27+O28</f>
        <v>2550879.6043096352</v>
      </c>
      <c r="O26" s="50">
        <f t="shared" si="2"/>
        <v>1903003.1574865277</v>
      </c>
      <c r="P26" s="159"/>
    </row>
    <row r="27" spans="1:16" ht="12.75">
      <c r="A27" s="564"/>
      <c r="B27" s="47">
        <v>23</v>
      </c>
      <c r="C27" s="48" t="s">
        <v>42</v>
      </c>
      <c r="D27" s="557"/>
      <c r="E27" s="241">
        <v>24</v>
      </c>
      <c r="F27" s="565"/>
      <c r="G27" s="52">
        <f t="shared" si="0"/>
        <v>0.0781758957654723</v>
      </c>
      <c r="H27" s="557"/>
      <c r="I27" s="50">
        <f>E27*'Carga Flex'!AG98*365</f>
        <v>27657.756044271067</v>
      </c>
      <c r="J27" s="557"/>
      <c r="K27" s="50">
        <f>E27*'Carga Flex'!AK130*365</f>
        <v>0</v>
      </c>
      <c r="L27" s="146">
        <f t="shared" si="3"/>
        <v>0.04</v>
      </c>
      <c r="M27" s="250">
        <f t="shared" si="1"/>
        <v>23.424765399841846</v>
      </c>
      <c r="N27" s="557"/>
      <c r="O27" s="50">
        <f t="shared" si="2"/>
        <v>647876.4468231075</v>
      </c>
      <c r="P27" s="159"/>
    </row>
    <row r="28" spans="1:16" ht="12.75">
      <c r="A28" s="564"/>
      <c r="B28" s="47">
        <v>24</v>
      </c>
      <c r="C28" s="48" t="s">
        <v>43</v>
      </c>
      <c r="D28" s="557"/>
      <c r="E28" s="241"/>
      <c r="F28" s="565"/>
      <c r="G28" s="52">
        <f t="shared" si="0"/>
        <v>0</v>
      </c>
      <c r="H28" s="557"/>
      <c r="I28" s="50">
        <f>E28*'Carga Flex'!AG102*365</f>
        <v>0</v>
      </c>
      <c r="J28" s="557"/>
      <c r="K28" s="50">
        <f>E28*'Carga Flex'!AK134*365</f>
        <v>0</v>
      </c>
      <c r="L28" s="146">
        <f t="shared" si="3"/>
        <v>0.04</v>
      </c>
      <c r="M28" s="250">
        <f t="shared" si="1"/>
        <v>23.424765399841846</v>
      </c>
      <c r="N28" s="557"/>
      <c r="O28" s="50">
        <f t="shared" si="2"/>
        <v>0</v>
      </c>
      <c r="P28" s="159"/>
    </row>
    <row r="29" spans="1:16" ht="12.75">
      <c r="A29" s="564">
        <v>13</v>
      </c>
      <c r="B29" s="47">
        <v>25</v>
      </c>
      <c r="C29" s="48" t="s">
        <v>44</v>
      </c>
      <c r="D29" s="557">
        <f>E29+E30</f>
        <v>0</v>
      </c>
      <c r="E29" s="241"/>
      <c r="F29" s="565">
        <f>G29+G30</f>
        <v>0</v>
      </c>
      <c r="G29" s="52">
        <f t="shared" si="0"/>
        <v>0</v>
      </c>
      <c r="H29" s="557">
        <f>I29+I30</f>
        <v>0</v>
      </c>
      <c r="I29" s="50">
        <f>E29*'Carga Flex'!AG106*365</f>
        <v>0</v>
      </c>
      <c r="J29" s="557">
        <f>K29+K30</f>
        <v>0</v>
      </c>
      <c r="K29" s="50">
        <f>E29*'Carga Flex'!AK138*365</f>
        <v>0</v>
      </c>
      <c r="L29" s="146">
        <f t="shared" si="3"/>
        <v>0.04</v>
      </c>
      <c r="M29" s="250">
        <f t="shared" si="1"/>
        <v>23.424765399841846</v>
      </c>
      <c r="N29" s="557">
        <f>O29+O30</f>
        <v>0</v>
      </c>
      <c r="O29" s="50">
        <f t="shared" si="2"/>
        <v>0</v>
      </c>
      <c r="P29" s="159"/>
    </row>
    <row r="30" spans="1:16" ht="12.75">
      <c r="A30" s="564"/>
      <c r="B30" s="47">
        <v>26</v>
      </c>
      <c r="C30" s="48" t="s">
        <v>45</v>
      </c>
      <c r="D30" s="557"/>
      <c r="E30" s="241"/>
      <c r="F30" s="565"/>
      <c r="G30" s="52">
        <f t="shared" si="0"/>
        <v>0</v>
      </c>
      <c r="H30" s="557"/>
      <c r="I30" s="50">
        <f>E30*'Carga Flex'!AG102*365</f>
        <v>0</v>
      </c>
      <c r="J30" s="557"/>
      <c r="K30" s="50">
        <f>E30*'Carga Flex'!AK142*365</f>
        <v>0</v>
      </c>
      <c r="L30" s="147">
        <f t="shared" si="3"/>
        <v>0.04</v>
      </c>
      <c r="M30" s="251">
        <f t="shared" si="1"/>
        <v>23.424765399841846</v>
      </c>
      <c r="N30" s="557"/>
      <c r="O30" s="50">
        <f t="shared" si="2"/>
        <v>0</v>
      </c>
      <c r="P30" s="159"/>
    </row>
    <row r="31" spans="1:15" ht="12.75">
      <c r="A31" s="560" t="s">
        <v>54</v>
      </c>
      <c r="B31" s="561"/>
      <c r="C31" s="562"/>
      <c r="D31" s="558">
        <f>SUM(D10:D30)</f>
        <v>307</v>
      </c>
      <c r="E31" s="559"/>
      <c r="F31" s="563">
        <f>SUM(F10:F30)</f>
        <v>1</v>
      </c>
      <c r="G31" s="559"/>
      <c r="H31" s="558">
        <f>SUM(H10:H30)</f>
        <v>256578.04537866663</v>
      </c>
      <c r="I31" s="559"/>
      <c r="J31" s="558">
        <f>SUM(J10:J30)</f>
        <v>0</v>
      </c>
      <c r="K31" s="559"/>
      <c r="L31" s="147"/>
      <c r="M31" s="252">
        <f>N31/H31</f>
        <v>23.58444103099143</v>
      </c>
      <c r="N31" s="558">
        <f>SUM(N10:N30)</f>
        <v>6051249.781080207</v>
      </c>
      <c r="O31" s="559"/>
    </row>
    <row r="32" spans="10:15" ht="12.75">
      <c r="J32" s="583">
        <f>J31/H31-1</f>
        <v>-1</v>
      </c>
      <c r="K32" s="583"/>
      <c r="L32" s="248"/>
      <c r="M32" s="248"/>
      <c r="N32" s="580">
        <f>N31*1.1</f>
        <v>6656374.759188228</v>
      </c>
      <c r="O32" s="581"/>
    </row>
    <row r="33" ht="6" customHeight="1">
      <c r="B33" s="151"/>
    </row>
    <row r="34" spans="1:15" ht="12.75">
      <c r="A34" s="151" t="s">
        <v>73</v>
      </c>
      <c r="E34" s="154" t="s">
        <v>102</v>
      </c>
      <c r="F34" s="503" t="s">
        <v>80</v>
      </c>
      <c r="G34" s="503"/>
      <c r="H34" s="500" t="s">
        <v>84</v>
      </c>
      <c r="I34" s="500"/>
      <c r="J34" s="500" t="s">
        <v>90</v>
      </c>
      <c r="K34" s="500"/>
      <c r="L34" s="58" t="s">
        <v>95</v>
      </c>
      <c r="M34" s="58" t="s">
        <v>96</v>
      </c>
      <c r="N34" s="58" t="s">
        <v>87</v>
      </c>
      <c r="O34" s="58" t="s">
        <v>92</v>
      </c>
    </row>
    <row r="35" spans="2:15" ht="12.75">
      <c r="B35" s="105" t="s">
        <v>74</v>
      </c>
      <c r="C35" s="105" t="s">
        <v>164</v>
      </c>
      <c r="D35" s="254">
        <v>3</v>
      </c>
      <c r="E35" s="154">
        <v>1</v>
      </c>
      <c r="F35" s="501" t="s">
        <v>81</v>
      </c>
      <c r="G35" s="501"/>
      <c r="H35" s="502">
        <v>18</v>
      </c>
      <c r="I35" s="502"/>
      <c r="J35" s="556"/>
      <c r="K35" s="556"/>
      <c r="L35" s="155">
        <v>0.095</v>
      </c>
      <c r="M35" s="155">
        <f aca="true" t="shared" si="4" ref="M35:M40">L35/2.54</f>
        <v>0.03740157480314961</v>
      </c>
      <c r="N35" s="154">
        <f>ROUND(1.312+LN(20)/0.61,1)</f>
        <v>6.2</v>
      </c>
      <c r="O35" s="253">
        <v>3.2</v>
      </c>
    </row>
    <row r="36" spans="2:15" ht="12.75">
      <c r="B36" s="158"/>
      <c r="C36" s="105" t="s">
        <v>75</v>
      </c>
      <c r="D36" s="304">
        <f>1.312+LN(D35)/0.61</f>
        <v>3.113003751914934</v>
      </c>
      <c r="E36" s="154">
        <v>2</v>
      </c>
      <c r="F36" s="501" t="s">
        <v>82</v>
      </c>
      <c r="G36" s="501"/>
      <c r="H36" s="502">
        <v>22</v>
      </c>
      <c r="I36" s="502"/>
      <c r="J36" s="556"/>
      <c r="K36" s="556"/>
      <c r="L36" s="155">
        <v>0.12</v>
      </c>
      <c r="M36" s="155">
        <f t="shared" si="4"/>
        <v>0.047244094488188976</v>
      </c>
      <c r="N36" s="154">
        <f>ROUND(1.312+LN(40)/0.61,1)</f>
        <v>7.4</v>
      </c>
      <c r="O36" s="253">
        <v>2.7</v>
      </c>
    </row>
    <row r="37" spans="2:17" ht="12.75">
      <c r="B37" s="105" t="s">
        <v>168</v>
      </c>
      <c r="C37" s="105" t="s">
        <v>76</v>
      </c>
      <c r="D37" s="106">
        <v>1</v>
      </c>
      <c r="E37" s="154">
        <v>3</v>
      </c>
      <c r="F37" s="501" t="s">
        <v>83</v>
      </c>
      <c r="G37" s="501"/>
      <c r="H37" s="502">
        <v>26</v>
      </c>
      <c r="I37" s="502"/>
      <c r="J37" s="556"/>
      <c r="K37" s="556"/>
      <c r="L37" s="155">
        <v>0.13</v>
      </c>
      <c r="M37" s="155">
        <f t="shared" si="4"/>
        <v>0.051181102362204724</v>
      </c>
      <c r="N37" s="154">
        <f>ROUND(1.312+LN(80)/0.61,1)</f>
        <v>8.5</v>
      </c>
      <c r="O37" s="253">
        <v>2.31</v>
      </c>
      <c r="Q37">
        <f>1.312+LN(D35/0.61)</f>
        <v>2.90490861048289</v>
      </c>
    </row>
    <row r="38" spans="3:15" ht="12.75">
      <c r="C38" s="105" t="s">
        <v>63</v>
      </c>
      <c r="D38" s="208">
        <v>5.15</v>
      </c>
      <c r="E38" s="154">
        <v>4</v>
      </c>
      <c r="F38" s="501" t="s">
        <v>88</v>
      </c>
      <c r="G38" s="501"/>
      <c r="H38" s="502">
        <v>50</v>
      </c>
      <c r="I38" s="502"/>
      <c r="J38" s="556" t="s">
        <v>89</v>
      </c>
      <c r="K38" s="556"/>
      <c r="L38" s="155">
        <v>0.14</v>
      </c>
      <c r="M38" s="155">
        <f t="shared" si="4"/>
        <v>0.05511811023622048</v>
      </c>
      <c r="N38" s="154">
        <f>ROUND(1.312+LN(100)/0.61,1)</f>
        <v>8.9</v>
      </c>
      <c r="O38" s="253">
        <v>2.18</v>
      </c>
    </row>
    <row r="39" spans="3:15" ht="12.75">
      <c r="C39" s="105" t="s">
        <v>64</v>
      </c>
      <c r="D39" s="205">
        <v>2.5</v>
      </c>
      <c r="E39" s="154">
        <v>5</v>
      </c>
      <c r="F39" s="501" t="s">
        <v>167</v>
      </c>
      <c r="G39" s="501"/>
      <c r="H39" s="502">
        <v>43</v>
      </c>
      <c r="I39" s="502"/>
      <c r="J39" s="556" t="s">
        <v>162</v>
      </c>
      <c r="K39" s="556"/>
      <c r="L39" s="155">
        <v>0.19</v>
      </c>
      <c r="M39" s="155">
        <f t="shared" si="4"/>
        <v>0.07480314960629922</v>
      </c>
      <c r="N39" s="255">
        <v>11</v>
      </c>
      <c r="O39" s="253">
        <v>1.6</v>
      </c>
    </row>
    <row r="40" spans="3:15" ht="12.75">
      <c r="C40" s="105" t="s">
        <v>78</v>
      </c>
      <c r="D40" s="152">
        <f>9.36*LOG(D38+1)-0.2+(LOG((4.2-D39)/(4.2-1.5)))/(0.4+1094/(D38+1)^5.19)+LOG(1/D37)+0.372*(D36-3)</f>
        <v>6.814244380491651</v>
      </c>
      <c r="E40" s="154">
        <v>6</v>
      </c>
      <c r="F40" s="501" t="s">
        <v>85</v>
      </c>
      <c r="G40" s="501"/>
      <c r="H40" s="508">
        <v>95</v>
      </c>
      <c r="I40" s="508"/>
      <c r="J40" s="556" t="s">
        <v>91</v>
      </c>
      <c r="K40" s="556"/>
      <c r="L40" s="155">
        <v>0.41</v>
      </c>
      <c r="M40" s="155">
        <f t="shared" si="4"/>
        <v>0.16141732283464566</v>
      </c>
      <c r="N40" s="156"/>
      <c r="O40" s="154"/>
    </row>
    <row r="41" spans="3:14" ht="12.75">
      <c r="C41" s="105" t="s">
        <v>169</v>
      </c>
      <c r="D41" s="152">
        <f>LOG(N32)</f>
        <v>6.823237765095432</v>
      </c>
      <c r="E41" s="154">
        <v>7</v>
      </c>
      <c r="F41" s="501" t="s">
        <v>86</v>
      </c>
      <c r="G41" s="501"/>
      <c r="H41" s="502">
        <v>380</v>
      </c>
      <c r="I41" s="502"/>
      <c r="J41" s="556"/>
      <c r="K41" s="556"/>
      <c r="L41" s="155"/>
      <c r="M41" s="156"/>
      <c r="N41" s="156"/>
    </row>
    <row r="42" spans="3:14" ht="12.75">
      <c r="C42" s="105" t="s">
        <v>77</v>
      </c>
      <c r="D42" s="153">
        <f>D41-D40</f>
        <v>0.008993384603781074</v>
      </c>
      <c r="E42" s="154">
        <v>8</v>
      </c>
      <c r="F42" s="501" t="s">
        <v>165</v>
      </c>
      <c r="G42" s="501"/>
      <c r="H42" s="507">
        <v>1.6</v>
      </c>
      <c r="I42" s="507"/>
      <c r="J42" s="556"/>
      <c r="K42" s="556"/>
      <c r="L42" s="155"/>
      <c r="M42" s="156"/>
      <c r="N42" s="156"/>
    </row>
    <row r="43" spans="5:14" ht="12.75">
      <c r="E43" s="154">
        <v>9</v>
      </c>
      <c r="F43" s="501" t="s">
        <v>166</v>
      </c>
      <c r="G43" s="501"/>
      <c r="H43" s="507">
        <v>0.7</v>
      </c>
      <c r="I43" s="507"/>
      <c r="J43" s="556"/>
      <c r="K43" s="556"/>
      <c r="L43" s="155"/>
      <c r="M43" s="156"/>
      <c r="N43" s="156"/>
    </row>
    <row r="44" spans="4:11" ht="12.75" customHeight="1">
      <c r="D44" s="154"/>
      <c r="E44" s="204"/>
      <c r="F44" s="204" t="s">
        <v>171</v>
      </c>
      <c r="G44" s="249"/>
      <c r="H44" s="506">
        <v>7.2</v>
      </c>
      <c r="I44" s="506"/>
      <c r="J44" s="154"/>
      <c r="K44" s="155"/>
    </row>
    <row r="45" spans="4:15" ht="12.75" customHeight="1">
      <c r="D45" s="154"/>
      <c r="E45" s="204"/>
      <c r="F45" s="204" t="s">
        <v>172</v>
      </c>
      <c r="G45" s="249"/>
      <c r="H45" s="506">
        <v>2.4</v>
      </c>
      <c r="I45" s="506"/>
      <c r="K45" s="155"/>
      <c r="L45" s="155"/>
      <c r="M45" s="155"/>
      <c r="N45" s="155"/>
      <c r="O45" s="155"/>
    </row>
    <row r="46" spans="4:15" ht="12.75">
      <c r="D46" s="154"/>
      <c r="E46" s="204"/>
      <c r="F46" s="204" t="s">
        <v>173</v>
      </c>
      <c r="G46" s="249"/>
      <c r="H46" s="509">
        <v>5</v>
      </c>
      <c r="I46" s="509"/>
      <c r="J46" s="154"/>
      <c r="K46" s="155"/>
      <c r="L46" s="155"/>
      <c r="M46" s="155"/>
      <c r="N46" s="155"/>
      <c r="O46" s="155"/>
    </row>
    <row r="47" spans="4:15" ht="12.75">
      <c r="D47" s="154"/>
      <c r="E47" s="204"/>
      <c r="F47" s="204" t="s">
        <v>193</v>
      </c>
      <c r="G47" s="249"/>
      <c r="H47" s="510">
        <v>2.4</v>
      </c>
      <c r="I47" s="510"/>
      <c r="J47" s="154"/>
      <c r="K47" s="155"/>
      <c r="L47" s="155"/>
      <c r="M47" s="155"/>
      <c r="N47" s="155"/>
      <c r="O47" s="155"/>
    </row>
    <row r="48" ht="12.75">
      <c r="A48" s="151" t="s">
        <v>93</v>
      </c>
    </row>
    <row r="49" ht="6" customHeight="1">
      <c r="B49" s="151"/>
    </row>
    <row r="50" spans="1:15" ht="12.75">
      <c r="A50" s="319" t="s">
        <v>105</v>
      </c>
      <c r="B50" s="320"/>
      <c r="C50" s="325"/>
      <c r="D50" s="186" t="s">
        <v>94</v>
      </c>
      <c r="E50" s="64" t="s">
        <v>96</v>
      </c>
      <c r="F50" s="65" t="s">
        <v>97</v>
      </c>
      <c r="G50" s="186" t="s">
        <v>98</v>
      </c>
      <c r="H50" s="64" t="s">
        <v>94</v>
      </c>
      <c r="I50" s="65" t="s">
        <v>99</v>
      </c>
      <c r="J50" s="186" t="s">
        <v>174</v>
      </c>
      <c r="K50" s="65" t="s">
        <v>170</v>
      </c>
      <c r="L50" s="186" t="s">
        <v>175</v>
      </c>
      <c r="M50" s="64" t="s">
        <v>176</v>
      </c>
      <c r="N50" s="65" t="s">
        <v>177</v>
      </c>
      <c r="O50" s="62" t="s">
        <v>198</v>
      </c>
    </row>
    <row r="51" spans="1:15" ht="12.75">
      <c r="A51" s="316">
        <v>1</v>
      </c>
      <c r="B51" s="485" t="str">
        <f>VLOOKUP(A51,$E$35:$O$40,2)</f>
        <v>CBR 20% </v>
      </c>
      <c r="C51" s="486"/>
      <c r="D51" s="322">
        <f>$D$38</f>
        <v>5.15</v>
      </c>
      <c r="E51" s="318">
        <f>VLOOKUP(A51,$E$35:$O$40,9)</f>
        <v>0.03740157480314961</v>
      </c>
      <c r="F51" s="329">
        <f>ROUND((D51-F52*E52-F53*E53-F54*E54)/E51,1)</f>
        <v>52.2</v>
      </c>
      <c r="G51" s="326">
        <v>50</v>
      </c>
      <c r="H51" s="317">
        <f>SUMPRODUCT(G51:G54,E51:E54)</f>
        <v>5.275590551181102</v>
      </c>
      <c r="I51" s="224" t="str">
        <f>IF(D51-H51&lt;0.004,"OK","Err")</f>
        <v>OK</v>
      </c>
      <c r="J51" s="332">
        <f>VLOOKUP(A51,$E$35:$O$40,4)</f>
        <v>18</v>
      </c>
      <c r="K51" s="339">
        <f>J51*G51/100</f>
        <v>9</v>
      </c>
      <c r="L51" s="335">
        <f>K51*$H$44*1000</f>
        <v>64800</v>
      </c>
      <c r="M51" s="231">
        <f>($H$45+(G56-G51/2)/100*3)*2*G51/100*J51*1000</f>
        <v>75600</v>
      </c>
      <c r="N51" s="347">
        <f>L51+M51</f>
        <v>140400</v>
      </c>
      <c r="O51" s="343" t="s">
        <v>194</v>
      </c>
    </row>
    <row r="52" spans="1:15" ht="12.75">
      <c r="A52" s="309">
        <v>2</v>
      </c>
      <c r="B52" s="487" t="str">
        <f>VLOOKUP(A52,$E$35:$O$40,2)</f>
        <v>CBR 40%</v>
      </c>
      <c r="C52" s="488"/>
      <c r="D52" s="323">
        <f>VLOOKUP(A51,$E$35:$O$40,11)</f>
        <v>3.2</v>
      </c>
      <c r="E52" s="311">
        <f>VLOOKUP(A52,$E$35:$O$40,9)</f>
        <v>0.047244094488188976</v>
      </c>
      <c r="F52" s="330">
        <f>ROUND((D52-F53*E53-F54*E54)/E52,1)</f>
        <v>10.5</v>
      </c>
      <c r="G52" s="327">
        <v>10</v>
      </c>
      <c r="H52" s="310">
        <f>SUMPRODUCT(G52:G54,E52:E54)</f>
        <v>3.4055118110236218</v>
      </c>
      <c r="I52" s="312" t="str">
        <f>IF(D52-H52&lt;0.004,"OK","Err")</f>
        <v>OK</v>
      </c>
      <c r="J52" s="333">
        <f>VLOOKUP(A52,$E$35:$O$40,4)</f>
        <v>22</v>
      </c>
      <c r="K52" s="340">
        <f>J52*G52/100</f>
        <v>2.2</v>
      </c>
      <c r="L52" s="336">
        <f>K52*$H$44*1000</f>
        <v>15840.000000000002</v>
      </c>
      <c r="M52" s="220">
        <f>($H$45+(G56-G51-G52/2)/100*3)*2*G52/100*J52*1000</f>
        <v>14520.000000000002</v>
      </c>
      <c r="N52" s="166">
        <f>L52+M52</f>
        <v>30360.000000000004</v>
      </c>
      <c r="O52" s="344" t="s">
        <v>194</v>
      </c>
    </row>
    <row r="53" spans="1:15" ht="12.75">
      <c r="A53" s="309">
        <v>3</v>
      </c>
      <c r="B53" s="487" t="str">
        <f>VLOOKUP(A53,$E$35:$O$40,2)</f>
        <v>CBR 80%</v>
      </c>
      <c r="C53" s="488"/>
      <c r="D53" s="323">
        <f>VLOOKUP(A52,$E$35:$O$40,11)</f>
        <v>2.7</v>
      </c>
      <c r="E53" s="311">
        <f>VLOOKUP(A53,$E$35:$O$40,9)</f>
        <v>0.051181102362204724</v>
      </c>
      <c r="F53" s="330">
        <f>ROUND((D53-F54*E54)/E53,1)</f>
        <v>7.7</v>
      </c>
      <c r="G53" s="327">
        <v>10</v>
      </c>
      <c r="H53" s="310">
        <f>SUMPRODUCT(G53:G54,E53:E54)</f>
        <v>2.933070866141732</v>
      </c>
      <c r="I53" s="312" t="str">
        <f>IF(D53-H53&lt;0.004,"OK","Err")</f>
        <v>OK</v>
      </c>
      <c r="J53" s="333">
        <f>VLOOKUP(A53,$E$35:$O$40,4)</f>
        <v>26</v>
      </c>
      <c r="K53" s="340">
        <f>J53*G53/100</f>
        <v>2.6</v>
      </c>
      <c r="L53" s="336">
        <f>K53*$H$44*1000</f>
        <v>18720.000000000004</v>
      </c>
      <c r="M53" s="220">
        <f>($H$45+(G53+G54+$H$46)/2/100*3)*2*(G53+G54-$H$46)/100*J53*1000</f>
        <v>29639.999999999996</v>
      </c>
      <c r="N53" s="166">
        <f>L53+M53</f>
        <v>48360</v>
      </c>
      <c r="O53" s="344" t="s">
        <v>194</v>
      </c>
    </row>
    <row r="54" spans="1:15" ht="12.75">
      <c r="A54" s="309">
        <v>6</v>
      </c>
      <c r="B54" s="487" t="str">
        <f>VLOOKUP(A54,$E$35:$O$40,2)</f>
        <v>Mezcla asfáltica</v>
      </c>
      <c r="C54" s="488"/>
      <c r="D54" s="323">
        <f>VLOOKUP(A53,$E$35:$O$40,11)</f>
        <v>2.31</v>
      </c>
      <c r="E54" s="311">
        <f>VLOOKUP(A54,$E$35:$O$40,9)</f>
        <v>0.16141732283464566</v>
      </c>
      <c r="F54" s="330">
        <f>ROUND(D54/E54,1)</f>
        <v>14.3</v>
      </c>
      <c r="G54" s="327">
        <v>15</v>
      </c>
      <c r="H54" s="310">
        <f>SUMPRODUCT(G54:G54,E54:E54)</f>
        <v>2.4212598425196847</v>
      </c>
      <c r="I54" s="312" t="str">
        <f>IF(D54-H54&lt;0.004,"OK","Err")</f>
        <v>OK</v>
      </c>
      <c r="J54" s="333">
        <f>VLOOKUP(A54,$E$35:$O$40,4)</f>
        <v>95</v>
      </c>
      <c r="K54" s="340">
        <f>J54*G54/100*$H$47</f>
        <v>34.199999999999996</v>
      </c>
      <c r="L54" s="336">
        <f>K54*$H$44*1000</f>
        <v>246239.99999999997</v>
      </c>
      <c r="M54" s="220">
        <f>$H$45*$H$46/100*$H$47*2*J54*1000</f>
        <v>54720</v>
      </c>
      <c r="N54" s="166">
        <f>L54+M54</f>
        <v>300960</v>
      </c>
      <c r="O54" s="344" t="s">
        <v>194</v>
      </c>
    </row>
    <row r="55" spans="1:15" ht="12.75">
      <c r="A55" s="313"/>
      <c r="B55" s="480" t="s">
        <v>100</v>
      </c>
      <c r="C55" s="481"/>
      <c r="D55" s="324"/>
      <c r="E55" s="314"/>
      <c r="F55" s="331"/>
      <c r="G55" s="328"/>
      <c r="H55" s="314"/>
      <c r="I55" s="315"/>
      <c r="J55" s="324"/>
      <c r="K55" s="341">
        <f>$H$42+MIN(INT(G54/8.1),INT(G54/5.1))*$H$43</f>
        <v>2.3</v>
      </c>
      <c r="L55" s="337">
        <f>K55*$H$44*1000</f>
        <v>16560</v>
      </c>
      <c r="M55" s="221">
        <f>$H$42*$H$45*2*1000</f>
        <v>7680</v>
      </c>
      <c r="N55" s="169">
        <f>L55+M55</f>
        <v>24240</v>
      </c>
      <c r="O55" s="345"/>
    </row>
    <row r="56" spans="1:15" ht="12.75">
      <c r="A56" s="349"/>
      <c r="B56" s="350"/>
      <c r="C56" s="351"/>
      <c r="D56" s="349"/>
      <c r="E56" s="350"/>
      <c r="F56" s="331">
        <f>SUM(F51:F54)</f>
        <v>84.7</v>
      </c>
      <c r="G56" s="328">
        <f>SUM(G51:G54)</f>
        <v>85</v>
      </c>
      <c r="H56" s="350"/>
      <c r="I56" s="351"/>
      <c r="J56" s="334" t="s">
        <v>101</v>
      </c>
      <c r="K56" s="342">
        <f>SUM(K51:K55)</f>
        <v>50.29999999999999</v>
      </c>
      <c r="L56" s="338">
        <f>SUM(L51:L55)</f>
        <v>362160</v>
      </c>
      <c r="M56" s="321">
        <f>SUM(M51:M55)</f>
        <v>182160</v>
      </c>
      <c r="N56" s="348">
        <f>SUM(N51:N55)</f>
        <v>544320</v>
      </c>
      <c r="O56" s="352"/>
    </row>
    <row r="57" spans="10:14" ht="12.75">
      <c r="J57" s="256"/>
      <c r="K57" s="256"/>
      <c r="L57" s="258">
        <f>L56/N56</f>
        <v>0.6653439153439153</v>
      </c>
      <c r="M57" s="258">
        <f>M56/N56</f>
        <v>0.33465608465608465</v>
      </c>
      <c r="N57" s="257"/>
    </row>
    <row r="59" spans="1:15" ht="12.75">
      <c r="A59" s="319" t="s">
        <v>105</v>
      </c>
      <c r="B59" s="320"/>
      <c r="C59" s="325"/>
      <c r="D59" s="186" t="s">
        <v>94</v>
      </c>
      <c r="E59" s="64" t="s">
        <v>96</v>
      </c>
      <c r="F59" s="65" t="s">
        <v>97</v>
      </c>
      <c r="G59" s="186" t="s">
        <v>98</v>
      </c>
      <c r="H59" s="64" t="s">
        <v>94</v>
      </c>
      <c r="I59" s="65" t="s">
        <v>99</v>
      </c>
      <c r="J59" s="186" t="s">
        <v>174</v>
      </c>
      <c r="K59" s="65" t="s">
        <v>170</v>
      </c>
      <c r="L59" s="186" t="s">
        <v>175</v>
      </c>
      <c r="M59" s="64" t="s">
        <v>176</v>
      </c>
      <c r="N59" s="65" t="s">
        <v>177</v>
      </c>
      <c r="O59" s="62" t="s">
        <v>198</v>
      </c>
    </row>
    <row r="60" spans="1:15" ht="12.75">
      <c r="A60" s="316">
        <v>1</v>
      </c>
      <c r="B60" s="485" t="str">
        <f>VLOOKUP(A60,$E$35:$O$40,2)</f>
        <v>CBR 20% </v>
      </c>
      <c r="C60" s="486"/>
      <c r="D60" s="322">
        <f>$D$38</f>
        <v>5.15</v>
      </c>
      <c r="E60" s="318">
        <f>VLOOKUP(A60,$E$35:$O$40,9)</f>
        <v>0.03740157480314961</v>
      </c>
      <c r="F60" s="329">
        <f>ROUND((D60-F61*E61-F62*E62-F63*E63)/E60,1)</f>
        <v>52.2</v>
      </c>
      <c r="G60" s="326">
        <v>20</v>
      </c>
      <c r="H60" s="317">
        <f>SUMPRODUCT(G60:G63,E60:E63)</f>
        <v>5.299212598425196</v>
      </c>
      <c r="I60" s="224" t="str">
        <f>IF(D60-H60&lt;0.004,"OK","Err")</f>
        <v>OK</v>
      </c>
      <c r="J60" s="332">
        <f>VLOOKUP(A60,$E$35:$O$40,4)</f>
        <v>18</v>
      </c>
      <c r="K60" s="339">
        <f>J60*G60/100</f>
        <v>3.6</v>
      </c>
      <c r="L60" s="335">
        <f>K60*$H$44*1000</f>
        <v>25920</v>
      </c>
      <c r="M60" s="231">
        <f>($H$45+(G65-G60/2)/100*3)*2*G60/100*J60*1000</f>
        <v>31535.999999999993</v>
      </c>
      <c r="N60" s="347">
        <f>L60+M60</f>
        <v>57455.99999999999</v>
      </c>
      <c r="O60" s="343" t="s">
        <v>194</v>
      </c>
    </row>
    <row r="61" spans="1:15" ht="12.75">
      <c r="A61" s="309">
        <v>2</v>
      </c>
      <c r="B61" s="487" t="str">
        <f>VLOOKUP(A61,$E$35:$O$40,2)</f>
        <v>CBR 40%</v>
      </c>
      <c r="C61" s="488"/>
      <c r="D61" s="323">
        <f>VLOOKUP(A60,$E$35:$O$40,11)</f>
        <v>3.2</v>
      </c>
      <c r="E61" s="311">
        <f>VLOOKUP(A61,$E$35:$O$40,9)</f>
        <v>0.047244094488188976</v>
      </c>
      <c r="F61" s="330">
        <f>ROUND((D61-F62*E62-F63*E63)/E61,1)</f>
        <v>10.5</v>
      </c>
      <c r="G61" s="327">
        <v>20</v>
      </c>
      <c r="H61" s="310">
        <f>SUMPRODUCT(G61:G63,E61:E63)</f>
        <v>4.551181102362205</v>
      </c>
      <c r="I61" s="312" t="str">
        <f>IF(D61-H61&lt;0.004,"OK","Err")</f>
        <v>OK</v>
      </c>
      <c r="J61" s="333">
        <f>VLOOKUP(A61,$E$35:$O$40,4)</f>
        <v>22</v>
      </c>
      <c r="K61" s="340">
        <f>J61*G61/100</f>
        <v>4.4</v>
      </c>
      <c r="L61" s="336">
        <f>K61*$H$44*1000</f>
        <v>31680.000000000004</v>
      </c>
      <c r="M61" s="220">
        <f>($H$45+(G65-G60-G61/2)/100*3)*2*G61/100*J61*1000</f>
        <v>33264</v>
      </c>
      <c r="N61" s="166">
        <f>L61+M61</f>
        <v>64944</v>
      </c>
      <c r="O61" s="344" t="s">
        <v>194</v>
      </c>
    </row>
    <row r="62" spans="1:15" ht="12.75">
      <c r="A62" s="309">
        <v>3</v>
      </c>
      <c r="B62" s="487" t="str">
        <f>VLOOKUP(A62,$E$35:$O$40,2)</f>
        <v>CBR 80%</v>
      </c>
      <c r="C62" s="488"/>
      <c r="D62" s="323">
        <f>VLOOKUP(A61,$E$35:$O$40,11)</f>
        <v>2.7</v>
      </c>
      <c r="E62" s="311">
        <f>VLOOKUP(A62,$E$35:$O$40,9)</f>
        <v>0.051181102362204724</v>
      </c>
      <c r="F62" s="330">
        <f>ROUND((D62-F63*E63)/E62,1)</f>
        <v>7.7</v>
      </c>
      <c r="G62" s="327">
        <v>20</v>
      </c>
      <c r="H62" s="310">
        <f>SUMPRODUCT(G62:G63,E62:E63)</f>
        <v>3.606299212598425</v>
      </c>
      <c r="I62" s="312" t="str">
        <f>IF(D62-H62&lt;0.004,"OK","Err")</f>
        <v>OK</v>
      </c>
      <c r="J62" s="333">
        <f>VLOOKUP(A62,$E$35:$O$40,4)</f>
        <v>26</v>
      </c>
      <c r="K62" s="340">
        <f>J62*G62/100</f>
        <v>5.2</v>
      </c>
      <c r="L62" s="336">
        <f>K62*$H$44*1000</f>
        <v>37440.00000000001</v>
      </c>
      <c r="M62" s="220">
        <f>($H$45+(G62+G63+$H$46)/2/100*3)*2*(G62+G63-$H$46)/100*J62*1000</f>
        <v>48601.79999999999</v>
      </c>
      <c r="N62" s="166">
        <f>L62+M62</f>
        <v>86041.79999999999</v>
      </c>
      <c r="O62" s="344" t="s">
        <v>194</v>
      </c>
    </row>
    <row r="63" spans="1:15" ht="12.75">
      <c r="A63" s="309">
        <v>6</v>
      </c>
      <c r="B63" s="487" t="str">
        <f>VLOOKUP(A63,$E$35:$O$40,2)</f>
        <v>Mezcla asfáltica</v>
      </c>
      <c r="C63" s="488"/>
      <c r="D63" s="323">
        <f>VLOOKUP(A62,$E$35:$O$40,11)</f>
        <v>2.31</v>
      </c>
      <c r="E63" s="311">
        <f>VLOOKUP(A63,$E$35:$O$40,9)</f>
        <v>0.16141732283464566</v>
      </c>
      <c r="F63" s="330">
        <f>ROUND(D63/E63,1)</f>
        <v>14.3</v>
      </c>
      <c r="G63" s="327">
        <v>16</v>
      </c>
      <c r="H63" s="310">
        <f>SUMPRODUCT(G63:G63,E63:E63)</f>
        <v>2.5826771653543306</v>
      </c>
      <c r="I63" s="312" t="str">
        <f>IF(D63-H63&lt;0.004,"OK","Err")</f>
        <v>OK</v>
      </c>
      <c r="J63" s="333">
        <f>VLOOKUP(A63,$E$35:$O$40,4)</f>
        <v>95</v>
      </c>
      <c r="K63" s="340">
        <f>J63*G63/100*$H$47</f>
        <v>36.48</v>
      </c>
      <c r="L63" s="336">
        <f>K63*$H$44*1000</f>
        <v>262656</v>
      </c>
      <c r="M63" s="220">
        <f>$H$45*$H$46/100*$H$47*2*J63*1000</f>
        <v>54720</v>
      </c>
      <c r="N63" s="166">
        <f>L63+M63</f>
        <v>317376</v>
      </c>
      <c r="O63" s="344" t="s">
        <v>194</v>
      </c>
    </row>
    <row r="64" spans="1:15" ht="12.75">
      <c r="A64" s="313"/>
      <c r="B64" s="480" t="s">
        <v>100</v>
      </c>
      <c r="C64" s="481"/>
      <c r="D64" s="324"/>
      <c r="E64" s="314"/>
      <c r="F64" s="331"/>
      <c r="G64" s="328"/>
      <c r="H64" s="314"/>
      <c r="I64" s="315"/>
      <c r="J64" s="324"/>
      <c r="K64" s="341">
        <f>$H$42+MIN(INT(G63/8.1),INT(G63/5.1))*$H$43</f>
        <v>2.3</v>
      </c>
      <c r="L64" s="337">
        <f>K64*$H$44*1000</f>
        <v>16560</v>
      </c>
      <c r="M64" s="221">
        <f>$H$42*$H$45*2*1000</f>
        <v>7680</v>
      </c>
      <c r="N64" s="169">
        <f>L64+M64</f>
        <v>24240</v>
      </c>
      <c r="O64" s="345"/>
    </row>
    <row r="65" spans="1:15" ht="12.75">
      <c r="A65" s="349"/>
      <c r="B65" s="350"/>
      <c r="C65" s="351"/>
      <c r="D65" s="349"/>
      <c r="E65" s="350"/>
      <c r="F65" s="331">
        <f>SUM(F60:F63)</f>
        <v>84.7</v>
      </c>
      <c r="G65" s="328">
        <f>SUM(G60:G63)</f>
        <v>76</v>
      </c>
      <c r="H65" s="350"/>
      <c r="I65" s="351"/>
      <c r="J65" s="334" t="s">
        <v>101</v>
      </c>
      <c r="K65" s="342">
        <f>SUM(K60:K64)</f>
        <v>51.97999999999999</v>
      </c>
      <c r="L65" s="338">
        <f>SUM(L60:L64)</f>
        <v>374256</v>
      </c>
      <c r="M65" s="321">
        <f>SUM(M60:M64)</f>
        <v>175801.8</v>
      </c>
      <c r="N65" s="348">
        <f>SUM(N60:N64)</f>
        <v>550057.8</v>
      </c>
      <c r="O65" s="352"/>
    </row>
    <row r="66" spans="10:14" ht="12.75">
      <c r="J66" s="256"/>
      <c r="K66" s="256"/>
      <c r="L66" s="258">
        <f>L65/N65</f>
        <v>0.6803939513265697</v>
      </c>
      <c r="M66" s="258">
        <f>M65/N65</f>
        <v>0.3196060486734303</v>
      </c>
      <c r="N66" s="257"/>
    </row>
    <row r="67" spans="10:14" ht="12.75">
      <c r="J67" s="256"/>
      <c r="K67" s="256"/>
      <c r="L67" s="305">
        <f>(L65-L56)/L56</f>
        <v>0.033399602385685886</v>
      </c>
      <c r="M67" s="305">
        <f>(M65-M56)/M56</f>
        <v>-0.03490447957839268</v>
      </c>
      <c r="N67" s="305">
        <f>(N65-N56)/N56</f>
        <v>0.010541225749559168</v>
      </c>
    </row>
    <row r="69" spans="1:15" ht="12.75">
      <c r="A69" s="319" t="s">
        <v>104</v>
      </c>
      <c r="B69" s="320"/>
      <c r="C69" s="325"/>
      <c r="D69" s="186" t="s">
        <v>94</v>
      </c>
      <c r="E69" s="64" t="s">
        <v>96</v>
      </c>
      <c r="F69" s="65" t="s">
        <v>97</v>
      </c>
      <c r="G69" s="186" t="s">
        <v>98</v>
      </c>
      <c r="H69" s="64" t="s">
        <v>94</v>
      </c>
      <c r="I69" s="65" t="s">
        <v>99</v>
      </c>
      <c r="J69" s="186" t="s">
        <v>174</v>
      </c>
      <c r="K69" s="65" t="s">
        <v>170</v>
      </c>
      <c r="L69" s="186" t="s">
        <v>175</v>
      </c>
      <c r="M69" s="64" t="s">
        <v>176</v>
      </c>
      <c r="N69" s="65" t="s">
        <v>177</v>
      </c>
      <c r="O69" s="62" t="s">
        <v>198</v>
      </c>
    </row>
    <row r="70" spans="1:15" ht="12.75">
      <c r="A70" s="316">
        <v>1</v>
      </c>
      <c r="B70" s="485" t="str">
        <f>VLOOKUP(A70,$E$35:$O$40,2)</f>
        <v>CBR 20% </v>
      </c>
      <c r="C70" s="486"/>
      <c r="D70" s="322">
        <f>$D$38</f>
        <v>5.15</v>
      </c>
      <c r="E70" s="318">
        <f>VLOOKUP(A70,$E$35:$O$40,9)</f>
        <v>0.03740157480314961</v>
      </c>
      <c r="F70" s="329">
        <f>ROUND((D70-F71*E71-F72*E72-F73*E73)/E70,1)</f>
        <v>52.2</v>
      </c>
      <c r="G70" s="326">
        <v>40</v>
      </c>
      <c r="H70" s="317">
        <f>SUMPRODUCT(G70:G73,E70:E73)</f>
        <v>5.291338582677165</v>
      </c>
      <c r="I70" s="224" t="str">
        <f>IF(D70-H70&lt;0.004,"OK","Err")</f>
        <v>OK</v>
      </c>
      <c r="J70" s="332">
        <f>VLOOKUP(A70,$E$35:$O$40,4)</f>
        <v>18</v>
      </c>
      <c r="K70" s="339">
        <f>J70*G70/100</f>
        <v>7.2</v>
      </c>
      <c r="L70" s="335">
        <f>K70*$H$44*1000</f>
        <v>51840</v>
      </c>
      <c r="M70" s="231">
        <f>($H$45+(G75-G70/2)/100*3)*2*G70/100*J70*1000</f>
        <v>62208.00000000001</v>
      </c>
      <c r="N70" s="347">
        <f>L70+M70</f>
        <v>114048</v>
      </c>
      <c r="O70" s="343" t="s">
        <v>194</v>
      </c>
    </row>
    <row r="71" spans="1:15" ht="12.75">
      <c r="A71" s="309">
        <v>2</v>
      </c>
      <c r="B71" s="487" t="str">
        <f>VLOOKUP(A71,$E$35:$O$40,2)</f>
        <v>CBR 40%</v>
      </c>
      <c r="C71" s="488"/>
      <c r="D71" s="323">
        <f>VLOOKUP(A70,$E$35:$O$40,11)</f>
        <v>3.2</v>
      </c>
      <c r="E71" s="311">
        <f>VLOOKUP(A71,$E$35:$O$40,9)</f>
        <v>0.047244094488188976</v>
      </c>
      <c r="F71" s="330">
        <f>ROUND((D71-F72*E72-F73*E73)/E71,1)</f>
        <v>10.5</v>
      </c>
      <c r="G71" s="327">
        <v>15</v>
      </c>
      <c r="H71" s="310">
        <f>SUMPRODUCT(G71:G73,E71:E73)</f>
        <v>3.795275590551181</v>
      </c>
      <c r="I71" s="312" t="str">
        <f>IF(D71-H71&lt;0.004,"OK","Err")</f>
        <v>OK</v>
      </c>
      <c r="J71" s="333">
        <f>VLOOKUP(A71,$E$35:$O$40,4)</f>
        <v>22</v>
      </c>
      <c r="K71" s="340">
        <f>J71*G71/100</f>
        <v>3.3</v>
      </c>
      <c r="L71" s="336">
        <f>K71*$H$44*1000</f>
        <v>23759.999999999996</v>
      </c>
      <c r="M71" s="220">
        <f>($H$45+(G75-G70-G71/2)/100*3)*2*G71/100*J71*1000</f>
        <v>23067</v>
      </c>
      <c r="N71" s="166">
        <f>L71+M71</f>
        <v>46827</v>
      </c>
      <c r="O71" s="344" t="s">
        <v>194</v>
      </c>
    </row>
    <row r="72" spans="1:15" ht="12.75">
      <c r="A72" s="309">
        <v>4</v>
      </c>
      <c r="B72" s="487" t="str">
        <f>VLOOKUP(A72,$E$35:$O$40,2)</f>
        <v>Triturado</v>
      </c>
      <c r="C72" s="488"/>
      <c r="D72" s="323">
        <f>VLOOKUP(A71,$E$35:$O$40,11)</f>
        <v>2.7</v>
      </c>
      <c r="E72" s="311">
        <f>VLOOKUP(A72,$E$35:$O$40,9)</f>
        <v>0.05511811023622048</v>
      </c>
      <c r="F72" s="330">
        <f>ROUND((D72-F73*E73)/E72,1)</f>
        <v>9.5</v>
      </c>
      <c r="G72" s="327">
        <v>15</v>
      </c>
      <c r="H72" s="310">
        <f>SUMPRODUCT(G72:G73,E72:E73)</f>
        <v>3.0866141732283463</v>
      </c>
      <c r="I72" s="312" t="str">
        <f>IF(D72-H72&lt;0.004,"OK","Err")</f>
        <v>OK</v>
      </c>
      <c r="J72" s="333">
        <f>VLOOKUP(A72,$E$35:$O$40,4)</f>
        <v>50</v>
      </c>
      <c r="K72" s="340">
        <f>J72*G72/100</f>
        <v>7.5</v>
      </c>
      <c r="L72" s="336">
        <f>K72*$H$44*1000</f>
        <v>54000</v>
      </c>
      <c r="M72" s="220">
        <f>($H$45+(G72+G73+$H$46)/2/100*3)*2*(G72+G73-$H$46)/100*J72*1000</f>
        <v>69840</v>
      </c>
      <c r="N72" s="166">
        <f>L72+M72</f>
        <v>123840</v>
      </c>
      <c r="O72" s="344" t="s">
        <v>194</v>
      </c>
    </row>
    <row r="73" spans="1:15" ht="12.75">
      <c r="A73" s="309">
        <v>6</v>
      </c>
      <c r="B73" s="487" t="str">
        <f>VLOOKUP(A73,$E$35:$O$40,2)</f>
        <v>Mezcla asfáltica</v>
      </c>
      <c r="C73" s="488"/>
      <c r="D73" s="323">
        <f>VLOOKUP(A72,$E$35:$O$40,11)</f>
        <v>2.18</v>
      </c>
      <c r="E73" s="311">
        <f>VLOOKUP(A73,$E$35:$O$40,9)</f>
        <v>0.16141732283464566</v>
      </c>
      <c r="F73" s="330">
        <f>ROUND(D73/E73,1)</f>
        <v>13.5</v>
      </c>
      <c r="G73" s="327">
        <v>14</v>
      </c>
      <c r="H73" s="310">
        <f>SUMPRODUCT(G73:G73,E73:E73)</f>
        <v>2.2598425196850394</v>
      </c>
      <c r="I73" s="312" t="str">
        <f>IF(D73-H73&lt;0.004,"OK","Err")</f>
        <v>OK</v>
      </c>
      <c r="J73" s="333">
        <f>VLOOKUP(A73,$E$35:$O$40,4)</f>
        <v>95</v>
      </c>
      <c r="K73" s="340">
        <f>J73*G73/100*$H$47</f>
        <v>31.92</v>
      </c>
      <c r="L73" s="336">
        <f>K73*$H$44*1000</f>
        <v>229824</v>
      </c>
      <c r="M73" s="220">
        <f>$H$45*$H$46/100*$H$47*2*J73*1000</f>
        <v>54720</v>
      </c>
      <c r="N73" s="166">
        <f>L73+M73</f>
        <v>284544</v>
      </c>
      <c r="O73" s="344" t="s">
        <v>194</v>
      </c>
    </row>
    <row r="74" spans="1:15" ht="12.75">
      <c r="A74" s="313"/>
      <c r="B74" s="480" t="s">
        <v>100</v>
      </c>
      <c r="C74" s="481"/>
      <c r="D74" s="324"/>
      <c r="E74" s="314"/>
      <c r="F74" s="331"/>
      <c r="G74" s="328"/>
      <c r="H74" s="314"/>
      <c r="I74" s="315"/>
      <c r="J74" s="324"/>
      <c r="K74" s="341">
        <f>$H$42+MIN(INT(G73/8.1),INT(G73/5.1))*$H$43</f>
        <v>2.3</v>
      </c>
      <c r="L74" s="337">
        <f>K74*$H$44*1000</f>
        <v>16560</v>
      </c>
      <c r="M74" s="221">
        <f>$H$42*$H$45*2*1000</f>
        <v>7680</v>
      </c>
      <c r="N74" s="169">
        <f>L74+M74</f>
        <v>24240</v>
      </c>
      <c r="O74" s="345"/>
    </row>
    <row r="75" spans="1:15" ht="12.75">
      <c r="A75" s="349"/>
      <c r="B75" s="350"/>
      <c r="C75" s="351"/>
      <c r="D75" s="349"/>
      <c r="E75" s="350"/>
      <c r="F75" s="331">
        <f>SUM(F70:F73)</f>
        <v>85.7</v>
      </c>
      <c r="G75" s="328">
        <f>SUM(G70:G73)</f>
        <v>84</v>
      </c>
      <c r="H75" s="350"/>
      <c r="I75" s="351"/>
      <c r="J75" s="334" t="s">
        <v>101</v>
      </c>
      <c r="K75" s="342">
        <f>SUM(K70:K74)</f>
        <v>52.22</v>
      </c>
      <c r="L75" s="338">
        <f>SUM(L70:L74)</f>
        <v>375984</v>
      </c>
      <c r="M75" s="321">
        <f>SUM(M70:M74)</f>
        <v>217515</v>
      </c>
      <c r="N75" s="348">
        <f>SUM(N70:N74)</f>
        <v>593499</v>
      </c>
      <c r="O75" s="352"/>
    </row>
    <row r="76" spans="10:14" ht="12.75">
      <c r="J76" s="256"/>
      <c r="K76" s="256"/>
      <c r="L76" s="258">
        <f>L75/N75</f>
        <v>0.6335040160135064</v>
      </c>
      <c r="M76" s="258">
        <f>M75/N75</f>
        <v>0.36649598398649363</v>
      </c>
      <c r="N76" s="257"/>
    </row>
    <row r="78" spans="1:15" ht="12.75">
      <c r="A78" s="319" t="s">
        <v>104</v>
      </c>
      <c r="B78" s="320"/>
      <c r="C78" s="325"/>
      <c r="D78" s="186" t="s">
        <v>94</v>
      </c>
      <c r="E78" s="64" t="s">
        <v>96</v>
      </c>
      <c r="F78" s="65" t="s">
        <v>97</v>
      </c>
      <c r="G78" s="186" t="s">
        <v>98</v>
      </c>
      <c r="H78" s="64" t="s">
        <v>94</v>
      </c>
      <c r="I78" s="65" t="s">
        <v>99</v>
      </c>
      <c r="J78" s="186" t="s">
        <v>174</v>
      </c>
      <c r="K78" s="65" t="s">
        <v>170</v>
      </c>
      <c r="L78" s="186" t="s">
        <v>175</v>
      </c>
      <c r="M78" s="64" t="s">
        <v>176</v>
      </c>
      <c r="N78" s="65" t="s">
        <v>177</v>
      </c>
      <c r="O78" s="62" t="s">
        <v>198</v>
      </c>
    </row>
    <row r="79" spans="1:15" ht="12.75">
      <c r="A79" s="316">
        <v>1</v>
      </c>
      <c r="B79" s="485" t="str">
        <f>VLOOKUP(A79,$E$35:$O$40,2)</f>
        <v>CBR 20% </v>
      </c>
      <c r="C79" s="486"/>
      <c r="D79" s="322">
        <f>$D$38</f>
        <v>5.15</v>
      </c>
      <c r="E79" s="318">
        <f>VLOOKUP(A79,$E$35:$O$40,9)</f>
        <v>0.03740157480314961</v>
      </c>
      <c r="F79" s="329">
        <f>ROUND((D79-F80*E80-F81*E81-F82*E82)/E79,1)</f>
        <v>52.2</v>
      </c>
      <c r="G79" s="326">
        <v>30</v>
      </c>
      <c r="H79" s="317">
        <f>SUMPRODUCT(G79:G82,E79:E82)</f>
        <v>5.153543307086615</v>
      </c>
      <c r="I79" s="224" t="str">
        <f>IF(D79-H79&lt;0.004,"OK","Err")</f>
        <v>OK</v>
      </c>
      <c r="J79" s="332">
        <f>VLOOKUP(A79,$E$35:$O$40,4)</f>
        <v>18</v>
      </c>
      <c r="K79" s="339">
        <f>J79*G79/100</f>
        <v>5.4</v>
      </c>
      <c r="L79" s="335">
        <f>K79*$H$44*1000</f>
        <v>38880</v>
      </c>
      <c r="M79" s="231">
        <f>($H$45+(G84-G79/2)/100*3)*2*G79/100*J79*1000</f>
        <v>46656.00000000001</v>
      </c>
      <c r="N79" s="347">
        <f>L79+M79</f>
        <v>85536</v>
      </c>
      <c r="O79" s="343" t="s">
        <v>194</v>
      </c>
    </row>
    <row r="80" spans="1:15" ht="12.75">
      <c r="A80" s="309">
        <v>2</v>
      </c>
      <c r="B80" s="487" t="str">
        <f>VLOOKUP(A80,$E$35:$O$40,2)</f>
        <v>CBR 40%</v>
      </c>
      <c r="C80" s="488"/>
      <c r="D80" s="323">
        <f>VLOOKUP(A79,$E$35:$O$40,11)</f>
        <v>3.2</v>
      </c>
      <c r="E80" s="311">
        <f>VLOOKUP(A80,$E$35:$O$40,9)</f>
        <v>0.047244094488188976</v>
      </c>
      <c r="F80" s="330">
        <f>ROUND((D80-F81*E81-F82*E82)/E80,1)</f>
        <v>10.5</v>
      </c>
      <c r="G80" s="327">
        <v>20</v>
      </c>
      <c r="H80" s="310">
        <f>SUMPRODUCT(G80:G82,E80:E82)</f>
        <v>4.031496062992126</v>
      </c>
      <c r="I80" s="312" t="str">
        <f>IF(D80-H80&lt;0.004,"OK","Err")</f>
        <v>OK</v>
      </c>
      <c r="J80" s="333">
        <f>VLOOKUP(A80,$E$35:$O$40,4)</f>
        <v>22</v>
      </c>
      <c r="K80" s="340">
        <f>J80*G80/100</f>
        <v>4.4</v>
      </c>
      <c r="L80" s="336">
        <f>K80*$H$44*1000</f>
        <v>31680.000000000004</v>
      </c>
      <c r="M80" s="220">
        <f>($H$45+(G84-G79-G80/2)/100*3)*2*G80/100*J80*1000</f>
        <v>31415.999999999996</v>
      </c>
      <c r="N80" s="166">
        <f>L80+M80</f>
        <v>63096</v>
      </c>
      <c r="O80" s="344" t="s">
        <v>194</v>
      </c>
    </row>
    <row r="81" spans="1:15" ht="12.75">
      <c r="A81" s="309">
        <v>4</v>
      </c>
      <c r="B81" s="487" t="str">
        <f>VLOOKUP(A81,$E$35:$O$40,2)</f>
        <v>Triturado</v>
      </c>
      <c r="C81" s="488"/>
      <c r="D81" s="323">
        <f>VLOOKUP(A80,$E$35:$O$40,11)</f>
        <v>2.7</v>
      </c>
      <c r="E81" s="311">
        <f>VLOOKUP(A81,$E$35:$O$40,9)</f>
        <v>0.05511811023622048</v>
      </c>
      <c r="F81" s="330">
        <f>ROUND((D81-F82*E82)/E81,1)</f>
        <v>9.5</v>
      </c>
      <c r="G81" s="327">
        <v>15</v>
      </c>
      <c r="H81" s="310">
        <f>SUMPRODUCT(G81:G82,E81:E82)</f>
        <v>3.0866141732283463</v>
      </c>
      <c r="I81" s="312" t="str">
        <f>IF(D81-H81&lt;0.004,"OK","Err")</f>
        <v>OK</v>
      </c>
      <c r="J81" s="333">
        <f>VLOOKUP(A81,$E$35:$O$40,4)</f>
        <v>50</v>
      </c>
      <c r="K81" s="340">
        <f>J81*G81/100</f>
        <v>7.5</v>
      </c>
      <c r="L81" s="336">
        <f>K81*$H$44*1000</f>
        <v>54000</v>
      </c>
      <c r="M81" s="220">
        <f>($H$45+(G81+G82+$H$46)/2/100*3)*2*(G81+G82-$H$46)/100*J81*1000</f>
        <v>69840</v>
      </c>
      <c r="N81" s="166">
        <f>L81+M81</f>
        <v>123840</v>
      </c>
      <c r="O81" s="344" t="s">
        <v>194</v>
      </c>
    </row>
    <row r="82" spans="1:15" ht="12.75">
      <c r="A82" s="309">
        <v>6</v>
      </c>
      <c r="B82" s="487" t="str">
        <f>VLOOKUP(A82,$E$35:$O$40,2)</f>
        <v>Mezcla asfáltica</v>
      </c>
      <c r="C82" s="488"/>
      <c r="D82" s="323">
        <f>VLOOKUP(A81,$E$35:$O$40,11)</f>
        <v>2.18</v>
      </c>
      <c r="E82" s="311">
        <f>VLOOKUP(A82,$E$35:$O$40,9)</f>
        <v>0.16141732283464566</v>
      </c>
      <c r="F82" s="330">
        <f>ROUND(D82/E82,1)</f>
        <v>13.5</v>
      </c>
      <c r="G82" s="327">
        <v>14</v>
      </c>
      <c r="H82" s="310">
        <f>SUMPRODUCT(G82:G82,E82:E82)</f>
        <v>2.2598425196850394</v>
      </c>
      <c r="I82" s="312" t="str">
        <f>IF(D82-H82&lt;0.004,"OK","Err")</f>
        <v>OK</v>
      </c>
      <c r="J82" s="333">
        <f>VLOOKUP(A82,$E$35:$O$40,4)</f>
        <v>95</v>
      </c>
      <c r="K82" s="340">
        <f>J82*G82/100*$H$47</f>
        <v>31.92</v>
      </c>
      <c r="L82" s="336">
        <f>K82*$H$44*1000</f>
        <v>229824</v>
      </c>
      <c r="M82" s="220">
        <f>$H$45*$H$46/100*$H$47*2*J82*1000</f>
        <v>54720</v>
      </c>
      <c r="N82" s="166">
        <f>L82+M82</f>
        <v>284544</v>
      </c>
      <c r="O82" s="344" t="s">
        <v>194</v>
      </c>
    </row>
    <row r="83" spans="1:15" ht="12.75">
      <c r="A83" s="313"/>
      <c r="B83" s="480" t="s">
        <v>100</v>
      </c>
      <c r="C83" s="481"/>
      <c r="D83" s="324"/>
      <c r="E83" s="314"/>
      <c r="F83" s="331"/>
      <c r="G83" s="328"/>
      <c r="H83" s="314"/>
      <c r="I83" s="315"/>
      <c r="J83" s="324"/>
      <c r="K83" s="341">
        <f>$H$42+MIN(INT(G82/8.1),INT(G82/5.1))*$H$43</f>
        <v>2.3</v>
      </c>
      <c r="L83" s="337">
        <f>K83*$H$44*1000</f>
        <v>16560</v>
      </c>
      <c r="M83" s="221">
        <f>$H$42*$H$45*2*1000</f>
        <v>7680</v>
      </c>
      <c r="N83" s="169">
        <f>L83+M83</f>
        <v>24240</v>
      </c>
      <c r="O83" s="345"/>
    </row>
    <row r="84" spans="1:15" ht="12.75">
      <c r="A84" s="349"/>
      <c r="B84" s="350"/>
      <c r="C84" s="351"/>
      <c r="D84" s="349"/>
      <c r="E84" s="350"/>
      <c r="F84" s="331">
        <f>SUM(F79:F82)</f>
        <v>85.7</v>
      </c>
      <c r="G84" s="328">
        <f>SUM(G79:G82)</f>
        <v>79</v>
      </c>
      <c r="H84" s="350"/>
      <c r="I84" s="351"/>
      <c r="J84" s="334" t="s">
        <v>101</v>
      </c>
      <c r="K84" s="342">
        <f>SUM(K79:K83)</f>
        <v>51.519999999999996</v>
      </c>
      <c r="L84" s="338">
        <f>SUM(L79:L83)</f>
        <v>370944</v>
      </c>
      <c r="M84" s="321">
        <f>SUM(M79:M83)</f>
        <v>210312</v>
      </c>
      <c r="N84" s="348">
        <f>SUM(N79:N83)</f>
        <v>581256</v>
      </c>
      <c r="O84" s="352"/>
    </row>
    <row r="85" spans="10:14" ht="12.75">
      <c r="J85" s="256"/>
      <c r="K85" s="256"/>
      <c r="L85" s="258">
        <f>L84/N84</f>
        <v>0.6381766381766382</v>
      </c>
      <c r="M85" s="258">
        <f>M84/N84</f>
        <v>0.36182336182336183</v>
      </c>
      <c r="N85" s="257"/>
    </row>
    <row r="86" spans="10:14" ht="12.75">
      <c r="J86" s="256"/>
      <c r="K86" s="256"/>
      <c r="L86" s="305">
        <f>(L84-L75)/L75</f>
        <v>-0.013404825737265416</v>
      </c>
      <c r="M86" s="305">
        <f>(M84-M75)/M75</f>
        <v>-0.033114957589131785</v>
      </c>
      <c r="N86" s="305">
        <f>(N84-N75)/N75</f>
        <v>-0.02062850990481871</v>
      </c>
    </row>
    <row r="88" spans="1:15" ht="12.75">
      <c r="A88" s="319" t="s">
        <v>103</v>
      </c>
      <c r="B88" s="320"/>
      <c r="C88" s="325"/>
      <c r="D88" s="186" t="s">
        <v>94</v>
      </c>
      <c r="E88" s="64" t="s">
        <v>96</v>
      </c>
      <c r="F88" s="65" t="s">
        <v>97</v>
      </c>
      <c r="G88" s="186" t="s">
        <v>98</v>
      </c>
      <c r="H88" s="64" t="s">
        <v>94</v>
      </c>
      <c r="I88" s="65" t="s">
        <v>99</v>
      </c>
      <c r="J88" s="186" t="s">
        <v>174</v>
      </c>
      <c r="K88" s="65" t="s">
        <v>170</v>
      </c>
      <c r="L88" s="186" t="s">
        <v>175</v>
      </c>
      <c r="M88" s="64" t="s">
        <v>176</v>
      </c>
      <c r="N88" s="65" t="s">
        <v>177</v>
      </c>
      <c r="O88" s="62" t="s">
        <v>198</v>
      </c>
    </row>
    <row r="89" spans="1:15" ht="12.75">
      <c r="A89" s="316">
        <v>1</v>
      </c>
      <c r="B89" s="485" t="str">
        <f>VLOOKUP(A89,$E$35:$O$40,2)</f>
        <v>CBR 20% </v>
      </c>
      <c r="C89" s="486"/>
      <c r="D89" s="322">
        <f>$D$38</f>
        <v>5.15</v>
      </c>
      <c r="E89" s="318">
        <f>VLOOKUP(A89,$E$35:$O$40,9)</f>
        <v>0.03740157480314961</v>
      </c>
      <c r="F89" s="329">
        <f>ROUND((D89-F90*E90-F91*E91-F92*E92)/E89,1)</f>
        <v>52.2</v>
      </c>
      <c r="G89" s="326">
        <v>46</v>
      </c>
      <c r="H89" s="317">
        <f>SUMPRODUCT(G89:G92,E89:E92)</f>
        <v>4.929133858267717</v>
      </c>
      <c r="I89" s="224" t="str">
        <f>IF(D89-H89&lt;0.004,"OK","Err")</f>
        <v>Err</v>
      </c>
      <c r="J89" s="332">
        <f>VLOOKUP(A89,$E$35:$O$40,4)</f>
        <v>18</v>
      </c>
      <c r="K89" s="339">
        <f>J89*G89/100</f>
        <v>8.28</v>
      </c>
      <c r="L89" s="335">
        <f>K89*$H$44*1000</f>
        <v>59616</v>
      </c>
      <c r="M89" s="231">
        <f>($H$45+(G94-G89/2)/100*3)*2*G89/100*J89*1000</f>
        <v>68558.4</v>
      </c>
      <c r="N89" s="347">
        <f>L89+M89</f>
        <v>128174.4</v>
      </c>
      <c r="O89" s="343" t="s">
        <v>194</v>
      </c>
    </row>
    <row r="90" spans="1:15" ht="12.75">
      <c r="A90" s="309">
        <v>2</v>
      </c>
      <c r="B90" s="487" t="str">
        <f>VLOOKUP(A90,$E$35:$O$40,2)</f>
        <v>CBR 40%</v>
      </c>
      <c r="C90" s="488"/>
      <c r="D90" s="323">
        <f>VLOOKUP(A89,$E$35:$O$40,11)</f>
        <v>3.2</v>
      </c>
      <c r="E90" s="311">
        <f>VLOOKUP(A90,$E$35:$O$40,9)</f>
        <v>0.047244094488188976</v>
      </c>
      <c r="F90" s="330">
        <f>ROUND((D90-F91*E91-F92*E92)/E90,1)</f>
        <v>10.6</v>
      </c>
      <c r="G90" s="327">
        <v>10</v>
      </c>
      <c r="H90" s="310">
        <f>SUMPRODUCT(G90:G92,E90:E92)</f>
        <v>3.2086614173228343</v>
      </c>
      <c r="I90" s="312" t="str">
        <f>IF(D90-H90&lt;0.004,"OK","Err")</f>
        <v>OK</v>
      </c>
      <c r="J90" s="333">
        <f>VLOOKUP(A90,$E$35:$O$40,4)</f>
        <v>22</v>
      </c>
      <c r="K90" s="340">
        <f>J90*G90/100</f>
        <v>2.2</v>
      </c>
      <c r="L90" s="336">
        <f>K90*$H$44*1000</f>
        <v>15840.000000000002</v>
      </c>
      <c r="M90" s="220">
        <f>(($H$45+((G90+G91+G92-$H$46)/2+$H$46)/100*3)*2*(G90+G91+G92-$H$46)/100-O91/100*2*G91/100)*J90*1000</f>
        <v>36300.00000000001</v>
      </c>
      <c r="N90" s="166">
        <f>L90+M90</f>
        <v>52140.00000000001</v>
      </c>
      <c r="O90" s="344" t="s">
        <v>195</v>
      </c>
    </row>
    <row r="91" spans="1:15" ht="12.75">
      <c r="A91" s="309">
        <v>5</v>
      </c>
      <c r="B91" s="487" t="str">
        <f>VLOOKUP(A91,$E$35:$O$40,2)</f>
        <v>Base Cementada</v>
      </c>
      <c r="C91" s="488"/>
      <c r="D91" s="323">
        <f>VLOOKUP(A90,$E$35:$O$40,11)</f>
        <v>2.7</v>
      </c>
      <c r="E91" s="311">
        <f>VLOOKUP(A91,$E$35:$O$40,9)</f>
        <v>0.07480314960629922</v>
      </c>
      <c r="F91" s="330">
        <f>ROUND((D91-F92*E92)/E91,1)</f>
        <v>14.7</v>
      </c>
      <c r="G91" s="327">
        <v>15</v>
      </c>
      <c r="H91" s="310">
        <f>SUMPRODUCT(G91:G92,E91:E92)</f>
        <v>2.7362204724409445</v>
      </c>
      <c r="I91" s="312" t="str">
        <f>IF(D91-H91&lt;0.004,"OK","Err")</f>
        <v>OK</v>
      </c>
      <c r="J91" s="333">
        <f>VLOOKUP(A91,$E$35:$O$40,4)</f>
        <v>43</v>
      </c>
      <c r="K91" s="340">
        <f>J91*G91/100</f>
        <v>6.45</v>
      </c>
      <c r="L91" s="336">
        <f>K91*$H$44*1000</f>
        <v>46440.00000000001</v>
      </c>
      <c r="M91" s="220">
        <f>O91/100*2*G91/100*J91*1000</f>
        <v>6450</v>
      </c>
      <c r="N91" s="166">
        <f>L91+M91</f>
        <v>52890.00000000001</v>
      </c>
      <c r="O91" s="344">
        <v>50</v>
      </c>
    </row>
    <row r="92" spans="1:15" ht="12.75">
      <c r="A92" s="309">
        <v>6</v>
      </c>
      <c r="B92" s="487" t="str">
        <f>VLOOKUP(A92,$E$35:$O$40,2)</f>
        <v>Mezcla asfáltica</v>
      </c>
      <c r="C92" s="488"/>
      <c r="D92" s="323">
        <f>VLOOKUP(A91,$E$35:$O$40,11)</f>
        <v>1.6</v>
      </c>
      <c r="E92" s="311">
        <f>VLOOKUP(A92,$E$35:$O$40,9)</f>
        <v>0.16141732283464566</v>
      </c>
      <c r="F92" s="330">
        <f>ROUND(D92/E92,1)</f>
        <v>9.9</v>
      </c>
      <c r="G92" s="327">
        <v>10</v>
      </c>
      <c r="H92" s="310">
        <f>SUMPRODUCT(G92:G92,E92:E92)</f>
        <v>1.6141732283464565</v>
      </c>
      <c r="I92" s="312" t="str">
        <f>IF(D92-H92&lt;0.004,"OK","Err")</f>
        <v>OK</v>
      </c>
      <c r="J92" s="333">
        <f>VLOOKUP(A92,$E$35:$O$40,4)</f>
        <v>95</v>
      </c>
      <c r="K92" s="340">
        <f>J92*G92/100*$H$47</f>
        <v>22.8</v>
      </c>
      <c r="L92" s="336">
        <f>K92*$H$44*1000</f>
        <v>164160</v>
      </c>
      <c r="M92" s="220">
        <f>$H$45*$H$46/100*$H$47*2*J92*1000</f>
        <v>54720</v>
      </c>
      <c r="N92" s="166">
        <f>L92+M92</f>
        <v>218880</v>
      </c>
      <c r="O92" s="344" t="s">
        <v>194</v>
      </c>
    </row>
    <row r="93" spans="1:15" ht="12.75">
      <c r="A93" s="313"/>
      <c r="B93" s="480" t="s">
        <v>100</v>
      </c>
      <c r="C93" s="481"/>
      <c r="D93" s="324"/>
      <c r="E93" s="314"/>
      <c r="F93" s="331"/>
      <c r="G93" s="328"/>
      <c r="H93" s="314"/>
      <c r="I93" s="315"/>
      <c r="J93" s="324"/>
      <c r="K93" s="341">
        <f>$H$42+MIN(INT(G92/8.1),INT(G92/5.1))*$H$43</f>
        <v>2.3</v>
      </c>
      <c r="L93" s="337">
        <f>K93*$H$44*1000</f>
        <v>16560</v>
      </c>
      <c r="M93" s="221">
        <f>$H$42*$H$45*2*1000</f>
        <v>7680</v>
      </c>
      <c r="N93" s="169">
        <f>L93+M93</f>
        <v>24240</v>
      </c>
      <c r="O93" s="345"/>
    </row>
    <row r="94" spans="1:15" ht="12.75">
      <c r="A94" s="349"/>
      <c r="B94" s="350"/>
      <c r="C94" s="351"/>
      <c r="D94" s="349"/>
      <c r="E94" s="350"/>
      <c r="F94" s="331">
        <f>SUM(F89:F92)</f>
        <v>87.4</v>
      </c>
      <c r="G94" s="328">
        <f>SUM(G89:G92)</f>
        <v>81</v>
      </c>
      <c r="H94" s="350"/>
      <c r="I94" s="351"/>
      <c r="J94" s="334" t="s">
        <v>101</v>
      </c>
      <c r="K94" s="342">
        <f>SUM(K89:K93)</f>
        <v>42.03</v>
      </c>
      <c r="L94" s="338">
        <f>SUM(L89:L93)</f>
        <v>302616</v>
      </c>
      <c r="M94" s="321">
        <f>SUM(M89:M93)</f>
        <v>173708.4</v>
      </c>
      <c r="N94" s="348">
        <f>SUM(N89:N93)</f>
        <v>476324.4</v>
      </c>
      <c r="O94" s="352"/>
    </row>
    <row r="95" spans="11:14" ht="12.75">
      <c r="K95" s="256"/>
      <c r="L95" s="258">
        <f>L94/N94</f>
        <v>0.6353149240307655</v>
      </c>
      <c r="M95" s="258">
        <f>M94/N94</f>
        <v>0.3646850759692344</v>
      </c>
      <c r="N95" s="257"/>
    </row>
    <row r="97" spans="1:15" ht="12.75">
      <c r="A97" s="319" t="s">
        <v>103</v>
      </c>
      <c r="B97" s="320"/>
      <c r="C97" s="325"/>
      <c r="D97" s="186" t="s">
        <v>94</v>
      </c>
      <c r="E97" s="64" t="s">
        <v>96</v>
      </c>
      <c r="F97" s="65" t="s">
        <v>97</v>
      </c>
      <c r="G97" s="186" t="s">
        <v>98</v>
      </c>
      <c r="H97" s="64" t="s">
        <v>94</v>
      </c>
      <c r="I97" s="65" t="s">
        <v>99</v>
      </c>
      <c r="J97" s="186" t="s">
        <v>174</v>
      </c>
      <c r="K97" s="65" t="s">
        <v>170</v>
      </c>
      <c r="L97" s="186" t="s">
        <v>175</v>
      </c>
      <c r="M97" s="64" t="s">
        <v>176</v>
      </c>
      <c r="N97" s="65" t="s">
        <v>177</v>
      </c>
      <c r="O97" s="62" t="s">
        <v>198</v>
      </c>
    </row>
    <row r="98" spans="1:15" ht="12.75">
      <c r="A98" s="316">
        <v>1</v>
      </c>
      <c r="B98" s="485" t="str">
        <f>VLOOKUP(A98,$E$35:$O$40,2)</f>
        <v>CBR 20% </v>
      </c>
      <c r="C98" s="486"/>
      <c r="D98" s="322">
        <f>$D$38</f>
        <v>5.15</v>
      </c>
      <c r="E98" s="318">
        <f>VLOOKUP(A98,$E$35:$O$40,9)</f>
        <v>0.03740157480314961</v>
      </c>
      <c r="F98" s="329">
        <f>ROUND((D98-F99*E99-F100*E100-F101*E101)/E98,1)</f>
        <v>52.2</v>
      </c>
      <c r="G98" s="326">
        <v>40</v>
      </c>
      <c r="H98" s="317">
        <f>SUMPRODUCT(G98:G101,E98:E101)</f>
        <v>5.177165354330708</v>
      </c>
      <c r="I98" s="224" t="str">
        <f>IF(D98-H98&lt;0.004,"OK","Err")</f>
        <v>OK</v>
      </c>
      <c r="J98" s="332">
        <f>VLOOKUP(A98,$E$35:$O$40,4)</f>
        <v>18</v>
      </c>
      <c r="K98" s="339">
        <f>J98*G98/100</f>
        <v>7.2</v>
      </c>
      <c r="L98" s="335">
        <f>K98*$H$44*1000</f>
        <v>51840</v>
      </c>
      <c r="M98" s="231">
        <f>($H$45+(G103-G98/2)/100*3)*2*G98/100*J98*1000</f>
        <v>62640</v>
      </c>
      <c r="N98" s="347">
        <f>L98+M98</f>
        <v>114480</v>
      </c>
      <c r="O98" s="343" t="s">
        <v>194</v>
      </c>
    </row>
    <row r="99" spans="1:15" ht="12.75">
      <c r="A99" s="309">
        <v>2</v>
      </c>
      <c r="B99" s="487" t="str">
        <f>VLOOKUP(A99,$E$35:$O$40,2)</f>
        <v>CBR 40%</v>
      </c>
      <c r="C99" s="488"/>
      <c r="D99" s="323">
        <f>VLOOKUP(A98,$E$35:$O$40,11)</f>
        <v>3.2</v>
      </c>
      <c r="E99" s="311">
        <f>VLOOKUP(A99,$E$35:$O$40,9)</f>
        <v>0.047244094488188976</v>
      </c>
      <c r="F99" s="330">
        <f>ROUND((D99-F100*E100-F101*E101)/E99,1)</f>
        <v>10.6</v>
      </c>
      <c r="G99" s="327">
        <v>20</v>
      </c>
      <c r="H99" s="310">
        <f>SUMPRODUCT(G99:G101,E99:E101)</f>
        <v>3.681102362204724</v>
      </c>
      <c r="I99" s="312" t="str">
        <f>IF(D99-H99&lt;0.004,"OK","Err")</f>
        <v>OK</v>
      </c>
      <c r="J99" s="333">
        <f>VLOOKUP(A99,$E$35:$O$40,4)</f>
        <v>22</v>
      </c>
      <c r="K99" s="340">
        <f>J99*G99/100</f>
        <v>4.4</v>
      </c>
      <c r="L99" s="336">
        <f>K99*$H$44*1000</f>
        <v>31680.000000000004</v>
      </c>
      <c r="M99" s="220">
        <f>(($H$45+((G99+G100+G101-$H$46)/2+$H$46)/100*3)*2*(G99+G100+G101-$H$46)/100-O100/100*2*G100/100)*J99*1000</f>
        <v>52140</v>
      </c>
      <c r="N99" s="166">
        <f>L99+M99</f>
        <v>83820</v>
      </c>
      <c r="O99" s="344" t="s">
        <v>195</v>
      </c>
    </row>
    <row r="100" spans="1:15" ht="12.75">
      <c r="A100" s="309">
        <v>5</v>
      </c>
      <c r="B100" s="487" t="str">
        <f>VLOOKUP(A100,$E$35:$O$40,2)</f>
        <v>Base Cementada</v>
      </c>
      <c r="C100" s="488"/>
      <c r="D100" s="323">
        <f>VLOOKUP(A99,$E$35:$O$40,11)</f>
        <v>2.7</v>
      </c>
      <c r="E100" s="311">
        <f>VLOOKUP(A100,$E$35:$O$40,9)</f>
        <v>0.07480314960629922</v>
      </c>
      <c r="F100" s="330">
        <f>ROUND((D100-F101*E101)/E100,1)</f>
        <v>14.7</v>
      </c>
      <c r="G100" s="327">
        <v>15</v>
      </c>
      <c r="H100" s="310">
        <f>SUMPRODUCT(G100:G101,E100:E101)</f>
        <v>2.7362204724409445</v>
      </c>
      <c r="I100" s="312" t="str">
        <f>IF(D100-H100&lt;0.004,"OK","Err")</f>
        <v>OK</v>
      </c>
      <c r="J100" s="333">
        <f>VLOOKUP(A100,$E$35:$O$40,4)</f>
        <v>43</v>
      </c>
      <c r="K100" s="340">
        <f>J100*G100/100</f>
        <v>6.45</v>
      </c>
      <c r="L100" s="336">
        <f>K100*$H$44*1000</f>
        <v>46440.00000000001</v>
      </c>
      <c r="M100" s="220">
        <f>O100/100*2*G100/100*J100*1000</f>
        <v>6450</v>
      </c>
      <c r="N100" s="166">
        <f>L100+M100</f>
        <v>52890.00000000001</v>
      </c>
      <c r="O100" s="344">
        <v>50</v>
      </c>
    </row>
    <row r="101" spans="1:15" ht="12.75">
      <c r="A101" s="309">
        <v>6</v>
      </c>
      <c r="B101" s="487" t="str">
        <f>VLOOKUP(A101,$E$35:$O$40,2)</f>
        <v>Mezcla asfáltica</v>
      </c>
      <c r="C101" s="488"/>
      <c r="D101" s="323">
        <f>VLOOKUP(A100,$E$35:$O$40,11)</f>
        <v>1.6</v>
      </c>
      <c r="E101" s="311">
        <f>VLOOKUP(A101,$E$35:$O$40,9)</f>
        <v>0.16141732283464566</v>
      </c>
      <c r="F101" s="330">
        <f>ROUND(D101/E101,1)</f>
        <v>9.9</v>
      </c>
      <c r="G101" s="327">
        <v>10</v>
      </c>
      <c r="H101" s="310">
        <f>SUMPRODUCT(G101:G101,E101:E101)</f>
        <v>1.6141732283464565</v>
      </c>
      <c r="I101" s="312" t="str">
        <f>IF(D101-H101&lt;0.004,"OK","Err")</f>
        <v>OK</v>
      </c>
      <c r="J101" s="333">
        <f>VLOOKUP(A101,$E$35:$O$40,4)</f>
        <v>95</v>
      </c>
      <c r="K101" s="340">
        <f>J101*G101/100*$H$47</f>
        <v>22.8</v>
      </c>
      <c r="L101" s="336">
        <f>K101*$H$44*1000</f>
        <v>164160</v>
      </c>
      <c r="M101" s="220">
        <f>$H$45*$H$46/100*$H$47*2*J101*1000</f>
        <v>54720</v>
      </c>
      <c r="N101" s="166">
        <f>L101+M101</f>
        <v>218880</v>
      </c>
      <c r="O101" s="344" t="s">
        <v>194</v>
      </c>
    </row>
    <row r="102" spans="1:15" ht="12.75">
      <c r="A102" s="313"/>
      <c r="B102" s="480" t="s">
        <v>100</v>
      </c>
      <c r="C102" s="481"/>
      <c r="D102" s="324"/>
      <c r="E102" s="314"/>
      <c r="F102" s="331"/>
      <c r="G102" s="328"/>
      <c r="H102" s="314"/>
      <c r="I102" s="315"/>
      <c r="J102" s="324"/>
      <c r="K102" s="341">
        <f>$H$42+MIN(INT(G101/8.1),INT(G101/5.1))*$H$43</f>
        <v>2.3</v>
      </c>
      <c r="L102" s="337">
        <f>K102*$H$44*1000</f>
        <v>16560</v>
      </c>
      <c r="M102" s="221">
        <f>$H$42*$H$45*2*1000</f>
        <v>7680</v>
      </c>
      <c r="N102" s="169">
        <f>L102+M102</f>
        <v>24240</v>
      </c>
      <c r="O102" s="345"/>
    </row>
    <row r="103" spans="1:15" ht="12.75">
      <c r="A103" s="349"/>
      <c r="B103" s="350"/>
      <c r="C103" s="351"/>
      <c r="D103" s="349"/>
      <c r="E103" s="350"/>
      <c r="F103" s="331">
        <f>SUM(F98:F101)</f>
        <v>87.4</v>
      </c>
      <c r="G103" s="328">
        <f>SUM(G98:G101)</f>
        <v>85</v>
      </c>
      <c r="H103" s="350"/>
      <c r="I103" s="351"/>
      <c r="J103" s="334" t="s">
        <v>101</v>
      </c>
      <c r="K103" s="342">
        <f>SUM(K98:K102)</f>
        <v>43.15</v>
      </c>
      <c r="L103" s="338">
        <f>SUM(L98:L102)</f>
        <v>310680</v>
      </c>
      <c r="M103" s="321">
        <f>SUM(M98:M102)</f>
        <v>183630</v>
      </c>
      <c r="N103" s="348">
        <f>SUM(N98:N102)</f>
        <v>494310</v>
      </c>
      <c r="O103" s="352"/>
    </row>
    <row r="104" spans="11:14" ht="12.75">
      <c r="K104" s="256"/>
      <c r="L104" s="258">
        <f>L103/N103</f>
        <v>0.6285124719305699</v>
      </c>
      <c r="M104" s="258">
        <f>M103/N103</f>
        <v>0.37148752806943014</v>
      </c>
      <c r="N104" s="257"/>
    </row>
    <row r="105" spans="10:14" ht="12.75">
      <c r="J105" s="256"/>
      <c r="K105" s="256"/>
      <c r="L105" s="305">
        <f>(L103-L94)/L94</f>
        <v>0.02664763264334999</v>
      </c>
      <c r="M105" s="305">
        <f>(M103-M94)/M94</f>
        <v>0.05711640887832716</v>
      </c>
      <c r="N105" s="305">
        <f>(N103-N94)/N94</f>
        <v>0.03775914061929218</v>
      </c>
    </row>
    <row r="107" ht="12.75">
      <c r="O107" s="157"/>
    </row>
    <row r="108" ht="12.75">
      <c r="O108" s="157"/>
    </row>
    <row r="109" ht="12.75">
      <c r="O109" s="157"/>
    </row>
    <row r="110" ht="12.75">
      <c r="O110" s="157"/>
    </row>
  </sheetData>
  <sheetProtection/>
  <mergeCells count="134">
    <mergeCell ref="B102:C102"/>
    <mergeCell ref="B83:C83"/>
    <mergeCell ref="B98:C98"/>
    <mergeCell ref="B99:C99"/>
    <mergeCell ref="B100:C100"/>
    <mergeCell ref="B92:C92"/>
    <mergeCell ref="B91:C91"/>
    <mergeCell ref="A1:O1"/>
    <mergeCell ref="J32:K32"/>
    <mergeCell ref="L7:L9"/>
    <mergeCell ref="N31:O31"/>
    <mergeCell ref="N26:N28"/>
    <mergeCell ref="B101:C101"/>
    <mergeCell ref="B93:C93"/>
    <mergeCell ref="B74:C74"/>
    <mergeCell ref="B89:C89"/>
    <mergeCell ref="B90:C90"/>
    <mergeCell ref="B79:C79"/>
    <mergeCell ref="B80:C80"/>
    <mergeCell ref="B81:C81"/>
    <mergeCell ref="B82:C82"/>
    <mergeCell ref="F43:G43"/>
    <mergeCell ref="N29:N30"/>
    <mergeCell ref="B70:C70"/>
    <mergeCell ref="B73:C73"/>
    <mergeCell ref="B55:C55"/>
    <mergeCell ref="B71:C71"/>
    <mergeCell ref="N21:N22"/>
    <mergeCell ref="N23:N25"/>
    <mergeCell ref="A7:C7"/>
    <mergeCell ref="N19:N20"/>
    <mergeCell ref="N32:O32"/>
    <mergeCell ref="B51:C51"/>
    <mergeCell ref="H46:I46"/>
    <mergeCell ref="H47:I47"/>
    <mergeCell ref="N15:N16"/>
    <mergeCell ref="H42:I42"/>
    <mergeCell ref="B60:C60"/>
    <mergeCell ref="B53:C53"/>
    <mergeCell ref="B52:C52"/>
    <mergeCell ref="B72:C72"/>
    <mergeCell ref="B61:C61"/>
    <mergeCell ref="B62:C62"/>
    <mergeCell ref="B63:C63"/>
    <mergeCell ref="B64:C64"/>
    <mergeCell ref="B54:C54"/>
    <mergeCell ref="H43:I43"/>
    <mergeCell ref="H41:I41"/>
    <mergeCell ref="F37:G37"/>
    <mergeCell ref="H45:I45"/>
    <mergeCell ref="F39:G39"/>
    <mergeCell ref="F40:G40"/>
    <mergeCell ref="F41:G41"/>
    <mergeCell ref="F42:G42"/>
    <mergeCell ref="H36:I36"/>
    <mergeCell ref="N17:N18"/>
    <mergeCell ref="J7:K7"/>
    <mergeCell ref="J8:K8"/>
    <mergeCell ref="H8:I8"/>
    <mergeCell ref="H7:I7"/>
    <mergeCell ref="M7:M9"/>
    <mergeCell ref="J10:J12"/>
    <mergeCell ref="J15:J16"/>
    <mergeCell ref="N10:N12"/>
    <mergeCell ref="A8:C8"/>
    <mergeCell ref="H40:I40"/>
    <mergeCell ref="J43:K43"/>
    <mergeCell ref="A10:A12"/>
    <mergeCell ref="D10:D12"/>
    <mergeCell ref="F10:F12"/>
    <mergeCell ref="A21:A22"/>
    <mergeCell ref="D21:D22"/>
    <mergeCell ref="F21:F22"/>
    <mergeCell ref="H38:I38"/>
    <mergeCell ref="D17:D18"/>
    <mergeCell ref="F17:F18"/>
    <mergeCell ref="A19:A20"/>
    <mergeCell ref="D19:D20"/>
    <mergeCell ref="F19:F20"/>
    <mergeCell ref="N7:O7"/>
    <mergeCell ref="N8:O8"/>
    <mergeCell ref="D7:G7"/>
    <mergeCell ref="F8:G8"/>
    <mergeCell ref="D8:E8"/>
    <mergeCell ref="A15:A16"/>
    <mergeCell ref="D15:D16"/>
    <mergeCell ref="F15:F16"/>
    <mergeCell ref="F26:F28"/>
    <mergeCell ref="A23:A25"/>
    <mergeCell ref="D23:D25"/>
    <mergeCell ref="F23:F25"/>
    <mergeCell ref="A26:A28"/>
    <mergeCell ref="D26:D28"/>
    <mergeCell ref="A17:A18"/>
    <mergeCell ref="J17:J18"/>
    <mergeCell ref="J19:J20"/>
    <mergeCell ref="J21:J22"/>
    <mergeCell ref="J23:J25"/>
    <mergeCell ref="F38:G38"/>
    <mergeCell ref="H10:H12"/>
    <mergeCell ref="H19:H20"/>
    <mergeCell ref="H34:I34"/>
    <mergeCell ref="F35:G35"/>
    <mergeCell ref="F36:G36"/>
    <mergeCell ref="F34:G34"/>
    <mergeCell ref="H15:H16"/>
    <mergeCell ref="H17:H18"/>
    <mergeCell ref="A31:C31"/>
    <mergeCell ref="F31:G31"/>
    <mergeCell ref="D31:E31"/>
    <mergeCell ref="A29:A30"/>
    <mergeCell ref="D29:D30"/>
    <mergeCell ref="F29:F30"/>
    <mergeCell ref="H21:H22"/>
    <mergeCell ref="H23:H25"/>
    <mergeCell ref="H26:H28"/>
    <mergeCell ref="H29:H30"/>
    <mergeCell ref="J31:K31"/>
    <mergeCell ref="H44:I44"/>
    <mergeCell ref="J29:J30"/>
    <mergeCell ref="J26:J28"/>
    <mergeCell ref="H35:I35"/>
    <mergeCell ref="J40:K40"/>
    <mergeCell ref="H31:I31"/>
    <mergeCell ref="J34:K34"/>
    <mergeCell ref="J42:K42"/>
    <mergeCell ref="J38:K38"/>
    <mergeCell ref="J35:K35"/>
    <mergeCell ref="J36:K36"/>
    <mergeCell ref="H39:I39"/>
    <mergeCell ref="J39:K39"/>
    <mergeCell ref="H37:I37"/>
    <mergeCell ref="J41:K41"/>
    <mergeCell ref="J37:K37"/>
  </mergeCells>
  <conditionalFormatting sqref="I98:I101 I60:I63 I51:I54 I89:I92 I70:I73 I79:I82">
    <cfRule type="cellIs" priority="1" dxfId="1" operator="equal" stopIfTrue="1">
      <formula>"Err"</formula>
    </cfRule>
    <cfRule type="cellIs" priority="2" dxfId="0" operator="equal" stopIfTrue="1">
      <formula>"OK"</formula>
    </cfRule>
  </conditionalFormatting>
  <printOptions horizontalCentered="1" verticalCentered="1"/>
  <pageMargins left="0.5905511811023623" right="0.5905511811023623" top="0.5905511811023623" bottom="0.3937007874015748" header="0" footer="0"/>
  <pageSetup fitToHeight="1" fitToWidth="1" horizontalDpi="300" verticalDpi="3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showZeros="0" zoomScale="75" zoomScaleNormal="75" zoomScalePageLayoutView="0" workbookViewId="0" topLeftCell="B1">
      <pane xSplit="12" ySplit="9" topLeftCell="Q10" activePane="bottomRight" state="frozen"/>
      <selection pane="topLeft" activeCell="B1" sqref="B1"/>
      <selection pane="topRight" activeCell="N1" sqref="N1"/>
      <selection pane="bottomLeft" activeCell="B10" sqref="B10"/>
      <selection pane="bottomRight" activeCell="AF4" sqref="AF4"/>
    </sheetView>
  </sheetViews>
  <sheetFormatPr defaultColWidth="11.421875" defaultRowHeight="12.75"/>
  <cols>
    <col min="1" max="2" width="8.140625" style="16" customWidth="1"/>
    <col min="3" max="3" width="23.7109375" style="16" customWidth="1"/>
    <col min="4" max="4" width="13.7109375" style="16" customWidth="1"/>
    <col min="5" max="28" width="6.7109375" style="16" customWidth="1"/>
    <col min="29" max="29" width="5.7109375" style="16" bestFit="1" customWidth="1"/>
    <col min="30" max="30" width="13.7109375" style="16" customWidth="1"/>
    <col min="31" max="33" width="6.7109375" style="16" customWidth="1"/>
    <col min="34" max="34" width="13.7109375" style="16" customWidth="1"/>
    <col min="35" max="37" width="6.7109375" style="16" customWidth="1"/>
    <col min="38" max="16384" width="11.421875" style="16" customWidth="1"/>
  </cols>
  <sheetData>
    <row r="1" spans="1:37" ht="15.75">
      <c r="A1" s="529" t="s">
        <v>48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</row>
    <row r="2" spans="1:37" ht="12.75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K2" s="53"/>
    </row>
    <row r="3" spans="1:37" ht="12.75">
      <c r="A3" s="59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5" t="s">
        <v>65</v>
      </c>
      <c r="AF3" s="610">
        <v>2.205</v>
      </c>
      <c r="AG3" s="610"/>
      <c r="AH3" s="53"/>
      <c r="AI3" s="53"/>
      <c r="AJ3" s="53"/>
      <c r="AK3"/>
    </row>
    <row r="4" spans="1:37" ht="12.75">
      <c r="A4" s="55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105" t="s">
        <v>63</v>
      </c>
      <c r="AF4" s="246">
        <f>'Pav Flex'!D38</f>
        <v>5.15</v>
      </c>
      <c r="AG4"/>
      <c r="AH4" s="56"/>
      <c r="AI4" s="105" t="s">
        <v>63</v>
      </c>
      <c r="AJ4" s="246">
        <v>4</v>
      </c>
      <c r="AK4"/>
    </row>
    <row r="5" spans="1:37" ht="12.75">
      <c r="A5" s="59" t="s">
        <v>72</v>
      </c>
      <c r="B5" s="59">
        <v>2006</v>
      </c>
      <c r="C5" s="5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05" t="s">
        <v>64</v>
      </c>
      <c r="AF5" s="106">
        <f>'Pav Flex'!D39</f>
        <v>2.5</v>
      </c>
      <c r="AG5"/>
      <c r="AH5" s="56"/>
      <c r="AI5" s="105" t="s">
        <v>64</v>
      </c>
      <c r="AJ5" s="106">
        <v>2</v>
      </c>
      <c r="AK5" s="259"/>
    </row>
    <row r="7" spans="1:37" ht="12.75">
      <c r="A7" s="533" t="s">
        <v>0</v>
      </c>
      <c r="B7" s="545"/>
      <c r="C7" s="546"/>
      <c r="D7" s="533" t="s">
        <v>3</v>
      </c>
      <c r="E7" s="534"/>
      <c r="F7" s="512"/>
      <c r="G7" s="523" t="s">
        <v>7</v>
      </c>
      <c r="H7" s="524"/>
      <c r="I7" s="524"/>
      <c r="J7" s="524"/>
      <c r="K7" s="524"/>
      <c r="L7" s="524"/>
      <c r="M7" s="525"/>
      <c r="N7" s="536" t="s">
        <v>7</v>
      </c>
      <c r="O7" s="537"/>
      <c r="P7" s="537"/>
      <c r="Q7" s="537"/>
      <c r="R7" s="537"/>
      <c r="S7" s="537"/>
      <c r="T7" s="537"/>
      <c r="U7" s="538"/>
      <c r="V7" s="536" t="s">
        <v>66</v>
      </c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8"/>
      <c r="AH7" s="523" t="s">
        <v>68</v>
      </c>
      <c r="AI7" s="601"/>
      <c r="AJ7" s="601"/>
      <c r="AK7" s="602"/>
    </row>
    <row r="8" spans="1:37" ht="12.75">
      <c r="A8" s="547"/>
      <c r="B8" s="548"/>
      <c r="C8" s="549"/>
      <c r="D8" s="515"/>
      <c r="E8" s="535"/>
      <c r="F8" s="516"/>
      <c r="G8" s="526" t="s">
        <v>8</v>
      </c>
      <c r="H8" s="527"/>
      <c r="I8" s="527"/>
      <c r="J8" s="527"/>
      <c r="K8" s="527"/>
      <c r="L8" s="527"/>
      <c r="M8" s="528"/>
      <c r="N8" s="530" t="s">
        <v>57</v>
      </c>
      <c r="O8" s="531"/>
      <c r="P8" s="531"/>
      <c r="Q8" s="531"/>
      <c r="R8" s="531"/>
      <c r="S8" s="531"/>
      <c r="T8" s="531"/>
      <c r="U8" s="532"/>
      <c r="V8" s="530" t="s">
        <v>67</v>
      </c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2"/>
      <c r="AH8" s="526" t="s">
        <v>55</v>
      </c>
      <c r="AI8" s="603"/>
      <c r="AJ8" s="603"/>
      <c r="AK8" s="604"/>
    </row>
    <row r="9" spans="1:38" ht="12.75">
      <c r="A9" s="17" t="s">
        <v>1</v>
      </c>
      <c r="B9" s="17" t="s">
        <v>2</v>
      </c>
      <c r="C9" s="17" t="s">
        <v>161</v>
      </c>
      <c r="D9" s="17" t="s">
        <v>4</v>
      </c>
      <c r="E9" s="18" t="s">
        <v>5</v>
      </c>
      <c r="F9" s="20" t="s">
        <v>6</v>
      </c>
      <c r="G9" s="18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  <c r="M9" s="260" t="s">
        <v>15</v>
      </c>
      <c r="N9" s="63" t="s">
        <v>58</v>
      </c>
      <c r="O9" s="64" t="s">
        <v>59</v>
      </c>
      <c r="P9" s="64" t="s">
        <v>60</v>
      </c>
      <c r="Q9" s="64" t="s">
        <v>61</v>
      </c>
      <c r="R9" s="268" t="s">
        <v>62</v>
      </c>
      <c r="S9" s="63" t="s">
        <v>16</v>
      </c>
      <c r="T9" s="65" t="s">
        <v>17</v>
      </c>
      <c r="U9" s="62" t="s">
        <v>18</v>
      </c>
      <c r="V9" s="63" t="s">
        <v>58</v>
      </c>
      <c r="W9" s="64" t="s">
        <v>59</v>
      </c>
      <c r="X9" s="64" t="s">
        <v>60</v>
      </c>
      <c r="Y9" s="64" t="s">
        <v>61</v>
      </c>
      <c r="Z9" s="268" t="s">
        <v>62</v>
      </c>
      <c r="AA9" s="63" t="s">
        <v>16</v>
      </c>
      <c r="AB9" s="65" t="s">
        <v>17</v>
      </c>
      <c r="AC9" s="62" t="s">
        <v>18</v>
      </c>
      <c r="AD9" s="17" t="s">
        <v>4</v>
      </c>
      <c r="AE9" s="18" t="s">
        <v>6</v>
      </c>
      <c r="AF9" s="20" t="s">
        <v>19</v>
      </c>
      <c r="AG9" s="62" t="s">
        <v>20</v>
      </c>
      <c r="AH9" s="61" t="s">
        <v>4</v>
      </c>
      <c r="AI9" s="18" t="s">
        <v>19</v>
      </c>
      <c r="AJ9" s="599" t="s">
        <v>20</v>
      </c>
      <c r="AK9" s="600"/>
      <c r="AL9" s="21"/>
    </row>
    <row r="10" spans="1:38" ht="12.75">
      <c r="A10" s="520">
        <v>6</v>
      </c>
      <c r="B10" s="520" t="s">
        <v>21</v>
      </c>
      <c r="C10" s="520"/>
      <c r="D10" s="22" t="s">
        <v>22</v>
      </c>
      <c r="E10" s="23">
        <v>0</v>
      </c>
      <c r="F10" s="24">
        <f>IF(E10=0,0,E10/SUM(E10:E13))</f>
        <v>0</v>
      </c>
      <c r="G10" s="412">
        <f>SUM(H10:M10)</f>
        <v>0</v>
      </c>
      <c r="H10" s="441"/>
      <c r="I10" s="441"/>
      <c r="J10" s="441"/>
      <c r="K10" s="441"/>
      <c r="L10" s="441"/>
      <c r="M10" s="441"/>
      <c r="N10" s="414">
        <f aca="true" t="shared" si="0" ref="N10:R25">H10/1000*$AF$3</f>
        <v>0</v>
      </c>
      <c r="O10" s="414">
        <f t="shared" si="0"/>
        <v>0</v>
      </c>
      <c r="P10" s="446">
        <f t="shared" si="0"/>
        <v>0</v>
      </c>
      <c r="Q10" s="414"/>
      <c r="R10" s="414"/>
      <c r="S10" s="414"/>
      <c r="T10" s="414"/>
      <c r="U10" s="414"/>
      <c r="V10" s="415">
        <f aca="true" t="shared" si="1" ref="V10:W17">1/10^(6.1252-4.79*LOG(N10+1)+(LOG((4.2-$AF$5)/(4.2-1.5)))*(1/(0.4+0.081*(N10+1)^3.23/($AF$4+1)^5.19)-1/(0.4+1094/($AF$4+1)^5.19)))</f>
        <v>9.234530528827255E-07</v>
      </c>
      <c r="W10" s="415">
        <f t="shared" si="1"/>
        <v>9.234530528827255E-07</v>
      </c>
      <c r="X10" s="415"/>
      <c r="Y10" s="415"/>
      <c r="Z10" s="415"/>
      <c r="AA10" s="415"/>
      <c r="AB10" s="415"/>
      <c r="AC10" s="415"/>
      <c r="AD10" s="411" t="s">
        <v>22</v>
      </c>
      <c r="AE10" s="416">
        <f>F10</f>
        <v>0</v>
      </c>
      <c r="AF10" s="415">
        <f>SUM(V10:AC10)</f>
        <v>1.846906105765451E-06</v>
      </c>
      <c r="AG10" s="593">
        <f>SUMPRODUCT(AE10:AE13,AF10:AF13)</f>
        <v>1.5203876854242004</v>
      </c>
      <c r="AH10" s="137" t="s">
        <v>22</v>
      </c>
      <c r="AI10" s="23"/>
      <c r="AJ10" s="27"/>
      <c r="AK10" s="587"/>
      <c r="AL10" s="21"/>
    </row>
    <row r="11" spans="1:38" ht="12.75">
      <c r="A11" s="608"/>
      <c r="B11" s="608"/>
      <c r="C11" s="521"/>
      <c r="D11" s="28" t="s">
        <v>23</v>
      </c>
      <c r="E11" s="29">
        <v>91</v>
      </c>
      <c r="F11" s="30">
        <f>IF(E11=0,0,E11/SUM(E10:E13))</f>
        <v>0.22921914357682618</v>
      </c>
      <c r="G11" s="412">
        <f aca="true" t="shared" si="2" ref="G11:G126">SUM(H11:M11)</f>
        <v>11623</v>
      </c>
      <c r="H11" s="441">
        <v>4691</v>
      </c>
      <c r="I11" s="441">
        <v>6932</v>
      </c>
      <c r="J11" s="441"/>
      <c r="K11" s="441"/>
      <c r="L11" s="441"/>
      <c r="M11" s="441"/>
      <c r="N11" s="414">
        <f t="shared" si="0"/>
        <v>10.343655</v>
      </c>
      <c r="O11" s="414">
        <f t="shared" si="0"/>
        <v>15.285060000000001</v>
      </c>
      <c r="P11" s="446">
        <f t="shared" si="0"/>
        <v>0</v>
      </c>
      <c r="Q11" s="446">
        <f t="shared" si="0"/>
        <v>0</v>
      </c>
      <c r="R11" s="414"/>
      <c r="S11" s="414"/>
      <c r="T11" s="414"/>
      <c r="U11" s="414"/>
      <c r="V11" s="415">
        <f t="shared" si="1"/>
        <v>0.0994564052841348</v>
      </c>
      <c r="W11" s="415">
        <f t="shared" si="1"/>
        <v>0.5136232926598873</v>
      </c>
      <c r="X11" s="415"/>
      <c r="Y11" s="415"/>
      <c r="Z11" s="415"/>
      <c r="AA11" s="415"/>
      <c r="AB11" s="415"/>
      <c r="AC11" s="415"/>
      <c r="AD11" s="411" t="s">
        <v>23</v>
      </c>
      <c r="AE11" s="416">
        <f aca="true" t="shared" si="3" ref="AE11:AE126">F11</f>
        <v>0.22921914357682618</v>
      </c>
      <c r="AF11" s="415">
        <f aca="true" t="shared" si="4" ref="AF11:AF126">SUM(V11:AC11)</f>
        <v>0.6130796979440221</v>
      </c>
      <c r="AG11" s="594"/>
      <c r="AH11" s="138" t="s">
        <v>23</v>
      </c>
      <c r="AI11" s="29"/>
      <c r="AJ11" s="33"/>
      <c r="AK11" s="588"/>
      <c r="AL11" s="21"/>
    </row>
    <row r="12" spans="1:38" ht="12.75">
      <c r="A12" s="608"/>
      <c r="B12" s="608"/>
      <c r="C12" s="521"/>
      <c r="D12" s="28" t="s">
        <v>24</v>
      </c>
      <c r="E12" s="29">
        <v>261</v>
      </c>
      <c r="F12" s="30">
        <f>IF(E12=0,0,E12/SUM(E10:E13))</f>
        <v>0.6574307304785895</v>
      </c>
      <c r="G12" s="412">
        <f t="shared" si="2"/>
        <v>14800</v>
      </c>
      <c r="H12" s="441">
        <v>6172</v>
      </c>
      <c r="I12" s="441">
        <v>8628</v>
      </c>
      <c r="J12" s="441"/>
      <c r="K12" s="441"/>
      <c r="L12" s="441"/>
      <c r="M12" s="441"/>
      <c r="N12" s="414">
        <f t="shared" si="0"/>
        <v>13.609259999999999</v>
      </c>
      <c r="O12" s="414">
        <f t="shared" si="0"/>
        <v>19.02474</v>
      </c>
      <c r="P12" s="446">
        <f t="shared" si="0"/>
        <v>0</v>
      </c>
      <c r="Q12" s="446">
        <f t="shared" si="0"/>
        <v>0</v>
      </c>
      <c r="R12" s="414"/>
      <c r="S12" s="414"/>
      <c r="T12" s="414"/>
      <c r="U12" s="414"/>
      <c r="V12" s="415">
        <f t="shared" si="1"/>
        <v>0.3167836346524367</v>
      </c>
      <c r="W12" s="415">
        <f t="shared" si="1"/>
        <v>1.2475119650999813</v>
      </c>
      <c r="X12" s="415"/>
      <c r="Y12" s="415"/>
      <c r="Z12" s="415"/>
      <c r="AA12" s="415"/>
      <c r="AB12" s="415"/>
      <c r="AC12" s="415"/>
      <c r="AD12" s="411" t="s">
        <v>24</v>
      </c>
      <c r="AE12" s="416">
        <f t="shared" si="3"/>
        <v>0.6574307304785895</v>
      </c>
      <c r="AF12" s="415">
        <f t="shared" si="4"/>
        <v>1.564295599752418</v>
      </c>
      <c r="AG12" s="594"/>
      <c r="AH12" s="138" t="s">
        <v>24</v>
      </c>
      <c r="AI12" s="29"/>
      <c r="AJ12" s="33"/>
      <c r="AK12" s="588"/>
      <c r="AL12" s="21"/>
    </row>
    <row r="13" spans="1:38" ht="12.75">
      <c r="A13" s="609"/>
      <c r="B13" s="609"/>
      <c r="C13" s="522"/>
      <c r="D13" s="34" t="s">
        <v>25</v>
      </c>
      <c r="E13" s="35">
        <v>45</v>
      </c>
      <c r="F13" s="36">
        <f>IF(E13=0,0,E13/SUM(E10:E13))</f>
        <v>0.11335012594458438</v>
      </c>
      <c r="G13" s="412">
        <f t="shared" si="2"/>
        <v>17509</v>
      </c>
      <c r="H13" s="441">
        <v>7191</v>
      </c>
      <c r="I13" s="441">
        <v>10318</v>
      </c>
      <c r="J13" s="441"/>
      <c r="K13" s="441"/>
      <c r="L13" s="441"/>
      <c r="M13" s="441"/>
      <c r="N13" s="414">
        <f t="shared" si="0"/>
        <v>15.856155</v>
      </c>
      <c r="O13" s="414">
        <f t="shared" si="0"/>
        <v>22.75119</v>
      </c>
      <c r="P13" s="446">
        <f t="shared" si="0"/>
        <v>0</v>
      </c>
      <c r="Q13" s="446">
        <f t="shared" si="0"/>
        <v>0</v>
      </c>
      <c r="R13" s="414"/>
      <c r="S13" s="414"/>
      <c r="T13" s="414"/>
      <c r="U13" s="414"/>
      <c r="V13" s="415">
        <f t="shared" si="1"/>
        <v>0.5974160086626527</v>
      </c>
      <c r="W13" s="415">
        <f t="shared" si="1"/>
        <v>2.503084148340026</v>
      </c>
      <c r="X13" s="415"/>
      <c r="Y13" s="415"/>
      <c r="Z13" s="415"/>
      <c r="AA13" s="415"/>
      <c r="AB13" s="415"/>
      <c r="AC13" s="415"/>
      <c r="AD13" s="411" t="s">
        <v>25</v>
      </c>
      <c r="AE13" s="416">
        <f t="shared" si="3"/>
        <v>0.11335012594458438</v>
      </c>
      <c r="AF13" s="415">
        <f t="shared" si="4"/>
        <v>3.1005001570026787</v>
      </c>
      <c r="AG13" s="595"/>
      <c r="AH13" s="139" t="s">
        <v>25</v>
      </c>
      <c r="AI13" s="35"/>
      <c r="AJ13" s="39"/>
      <c r="AK13" s="589"/>
      <c r="AL13" s="21"/>
    </row>
    <row r="14" spans="1:38" ht="12.75">
      <c r="A14" s="611">
        <v>7</v>
      </c>
      <c r="B14" s="611" t="s">
        <v>26</v>
      </c>
      <c r="C14" s="611"/>
      <c r="D14" s="442" t="s">
        <v>22</v>
      </c>
      <c r="E14" s="443">
        <v>4</v>
      </c>
      <c r="F14" s="444">
        <f>IF(E14=0,0,E14/SUM(E14:E17))</f>
        <v>0.0008394543546694648</v>
      </c>
      <c r="G14" s="445">
        <f t="shared" si="2"/>
        <v>7750</v>
      </c>
      <c r="H14" s="445">
        <v>2550</v>
      </c>
      <c r="I14" s="445">
        <v>3450</v>
      </c>
      <c r="J14" s="445">
        <v>1750</v>
      </c>
      <c r="K14" s="445"/>
      <c r="L14" s="445"/>
      <c r="M14" s="445"/>
      <c r="N14" s="446">
        <f>H14/1000*$AF$3</f>
        <v>5.62275</v>
      </c>
      <c r="O14" s="414"/>
      <c r="P14" s="446"/>
      <c r="Q14" s="446">
        <f t="shared" si="0"/>
        <v>0</v>
      </c>
      <c r="R14" s="446">
        <f t="shared" si="0"/>
        <v>0</v>
      </c>
      <c r="S14" s="446">
        <f>(I14+J14)/1000*$AF$3</f>
        <v>11.466000000000001</v>
      </c>
      <c r="T14" s="446"/>
      <c r="U14" s="446"/>
      <c r="V14" s="447">
        <f>1/10^(6.1252-4.79*LOG(N14+1)+(LOG((4.2-$AF$5)/(4.2-1.5)))*(1/(0.4+0.081*(N14+1)^3.23/($AF$4+1)^5.19)-1/(0.4+1094/($AF$4+1)^5.19)))</f>
        <v>0.007844224618486854</v>
      </c>
      <c r="W14" s="447">
        <f t="shared" si="1"/>
        <v>9.234530528827255E-07</v>
      </c>
      <c r="X14" s="447"/>
      <c r="Y14" s="447"/>
      <c r="Z14" s="447"/>
      <c r="AA14" s="447">
        <f aca="true" t="shared" si="5" ref="AA14:AA21">1/10^(7.4287-4.79*LOG(S14+2)+(LOG((4.2-$AF$5)/(4.2-1.5)))*(1/(0.4+0.008633*(S14+2)^3.23/($AF$4+1)^5.19)-1/(0.4+1094/($AF$4+1)^5.19)))</f>
        <v>0.011671615161582974</v>
      </c>
      <c r="AB14" s="447"/>
      <c r="AC14" s="447"/>
      <c r="AD14" s="448" t="s">
        <v>22</v>
      </c>
      <c r="AE14" s="449">
        <f t="shared" si="3"/>
        <v>0.0008394543546694648</v>
      </c>
      <c r="AF14" s="447">
        <f t="shared" si="4"/>
        <v>0.01951676323312271</v>
      </c>
      <c r="AG14" s="590">
        <f>SUMPRODUCT(AE14:AE17,AF14:AF17)</f>
        <v>0.7091104142835257</v>
      </c>
      <c r="AH14" s="450" t="s">
        <v>22</v>
      </c>
      <c r="AI14" s="443"/>
      <c r="AJ14" s="451"/>
      <c r="AK14" s="596"/>
      <c r="AL14" s="21"/>
    </row>
    <row r="15" spans="1:38" ht="12.75">
      <c r="A15" s="608"/>
      <c r="B15" s="608"/>
      <c r="C15" s="612"/>
      <c r="D15" s="452" t="s">
        <v>23</v>
      </c>
      <c r="E15" s="453">
        <v>720</v>
      </c>
      <c r="F15" s="454">
        <f>IF(E15=0,0,E15/SUM(E14:E17))</f>
        <v>0.15110178384050368</v>
      </c>
      <c r="G15" s="445">
        <f t="shared" si="2"/>
        <v>14449</v>
      </c>
      <c r="H15" s="445">
        <v>5027</v>
      </c>
      <c r="I15" s="445">
        <v>5015</v>
      </c>
      <c r="J15" s="445">
        <v>4407</v>
      </c>
      <c r="K15" s="445"/>
      <c r="L15" s="445"/>
      <c r="M15" s="445"/>
      <c r="N15" s="446">
        <f>H15/1000*$AF$3</f>
        <v>11.084535</v>
      </c>
      <c r="O15" s="414"/>
      <c r="P15" s="446"/>
      <c r="Q15" s="446">
        <f t="shared" si="0"/>
        <v>0</v>
      </c>
      <c r="R15" s="446">
        <f t="shared" si="0"/>
        <v>0</v>
      </c>
      <c r="S15" s="446">
        <f>(I15+J15)/1000*$AF$3</f>
        <v>20.77551</v>
      </c>
      <c r="T15" s="446"/>
      <c r="U15" s="446"/>
      <c r="V15" s="447">
        <f>1/10^(6.1252-4.79*LOG(N15+1)+(LOG((4.2-$AF$5)/(4.2-1.5)))*(1/(0.4+0.081*(N15+1)^3.23/($AF$4+1)^5.19)-1/(0.4+1094/($AF$4+1)^5.19)))</f>
        <v>0.1333277028384278</v>
      </c>
      <c r="W15" s="447">
        <f t="shared" si="1"/>
        <v>9.234530528827255E-07</v>
      </c>
      <c r="X15" s="447"/>
      <c r="Y15" s="447"/>
      <c r="Z15" s="447"/>
      <c r="AA15" s="447">
        <f t="shared" si="5"/>
        <v>0.13928206622893236</v>
      </c>
      <c r="AB15" s="447"/>
      <c r="AC15" s="447"/>
      <c r="AD15" s="448" t="s">
        <v>23</v>
      </c>
      <c r="AE15" s="449">
        <f t="shared" si="3"/>
        <v>0.15110178384050368</v>
      </c>
      <c r="AF15" s="447">
        <f t="shared" si="4"/>
        <v>0.27261069252041303</v>
      </c>
      <c r="AG15" s="591"/>
      <c r="AH15" s="455" t="s">
        <v>23</v>
      </c>
      <c r="AI15" s="453"/>
      <c r="AJ15" s="456"/>
      <c r="AK15" s="597"/>
      <c r="AL15" s="21"/>
    </row>
    <row r="16" spans="1:38" ht="12.75">
      <c r="A16" s="608"/>
      <c r="B16" s="608"/>
      <c r="C16" s="612"/>
      <c r="D16" s="452" t="s">
        <v>24</v>
      </c>
      <c r="E16" s="453">
        <v>3453</v>
      </c>
      <c r="F16" s="454">
        <f>IF(E16=0,0,E16/SUM(E14:E17))</f>
        <v>0.7246589716684155</v>
      </c>
      <c r="G16" s="445">
        <f t="shared" si="2"/>
        <v>17988</v>
      </c>
      <c r="H16" s="445">
        <v>6384</v>
      </c>
      <c r="I16" s="445">
        <v>5729</v>
      </c>
      <c r="J16" s="445">
        <v>5875</v>
      </c>
      <c r="K16" s="445"/>
      <c r="L16" s="445"/>
      <c r="M16" s="445"/>
      <c r="N16" s="446">
        <f>H16/1000*$AF$3</f>
        <v>14.076720000000002</v>
      </c>
      <c r="O16" s="414"/>
      <c r="P16" s="446"/>
      <c r="Q16" s="446">
        <f t="shared" si="0"/>
        <v>0</v>
      </c>
      <c r="R16" s="446">
        <f t="shared" si="0"/>
        <v>0</v>
      </c>
      <c r="S16" s="446">
        <f>(I16+J16)/1000*$AF$3</f>
        <v>25.58682</v>
      </c>
      <c r="T16" s="446"/>
      <c r="U16" s="446"/>
      <c r="V16" s="447">
        <f>1/10^(6.1252-4.79*LOG(N16+1)+(LOG((4.2-$AF$5)/(4.2-1.5)))*(1/(0.4+0.081*(N16+1)^3.23/($AF$4+1)^5.19)-1/(0.4+1094/($AF$4+1)^5.19)))</f>
        <v>0.36483054906403783</v>
      </c>
      <c r="W16" s="447">
        <f t="shared" si="1"/>
        <v>9.234530528827255E-07</v>
      </c>
      <c r="X16" s="447"/>
      <c r="Y16" s="447"/>
      <c r="Z16" s="447"/>
      <c r="AA16" s="447">
        <f t="shared" si="5"/>
        <v>0.3360826614937415</v>
      </c>
      <c r="AB16" s="447"/>
      <c r="AC16" s="447"/>
      <c r="AD16" s="448" t="s">
        <v>24</v>
      </c>
      <c r="AE16" s="449">
        <f t="shared" si="3"/>
        <v>0.7246589716684155</v>
      </c>
      <c r="AF16" s="447">
        <f t="shared" si="4"/>
        <v>0.7009141340108322</v>
      </c>
      <c r="AG16" s="591"/>
      <c r="AH16" s="455" t="s">
        <v>24</v>
      </c>
      <c r="AI16" s="453"/>
      <c r="AJ16" s="456"/>
      <c r="AK16" s="597"/>
      <c r="AL16" s="21"/>
    </row>
    <row r="17" spans="1:38" ht="12.75">
      <c r="A17" s="609"/>
      <c r="B17" s="609"/>
      <c r="C17" s="613"/>
      <c r="D17" s="457" t="s">
        <v>25</v>
      </c>
      <c r="E17" s="458">
        <v>588</v>
      </c>
      <c r="F17" s="459">
        <f>IF(E17=0,0,E17/SUM(E14:E17))</f>
        <v>0.12339979013641134</v>
      </c>
      <c r="G17" s="445">
        <f t="shared" si="2"/>
        <v>20805</v>
      </c>
      <c r="H17" s="445">
        <v>7454</v>
      </c>
      <c r="I17" s="445">
        <v>6596</v>
      </c>
      <c r="J17" s="445">
        <v>6755</v>
      </c>
      <c r="K17" s="445"/>
      <c r="L17" s="445"/>
      <c r="M17" s="445"/>
      <c r="N17" s="446">
        <f>H17/1000*$AF$3</f>
        <v>16.43607</v>
      </c>
      <c r="O17" s="414"/>
      <c r="P17" s="446"/>
      <c r="Q17" s="446">
        <f t="shared" si="0"/>
        <v>0</v>
      </c>
      <c r="R17" s="446">
        <f t="shared" si="0"/>
        <v>0</v>
      </c>
      <c r="S17" s="446">
        <f>(I17+J17)/1000*$AF$3</f>
        <v>29.438955000000004</v>
      </c>
      <c r="T17" s="446"/>
      <c r="U17" s="446"/>
      <c r="V17" s="447">
        <f>1/10^(6.1252-4.79*LOG(N17+1)+(LOG((4.2-$AF$5)/(4.2-1.5)))*(1/(0.4+0.081*(N17+1)^3.23/($AF$4+1)^5.19)-1/(0.4+1094/($AF$4+1)^5.19)))</f>
        <v>0.6921163737486878</v>
      </c>
      <c r="W17" s="447">
        <f t="shared" si="1"/>
        <v>9.234530528827255E-07</v>
      </c>
      <c r="X17" s="447"/>
      <c r="Y17" s="447"/>
      <c r="Z17" s="447"/>
      <c r="AA17" s="447">
        <f t="shared" si="5"/>
        <v>0.6043059232982017</v>
      </c>
      <c r="AB17" s="447"/>
      <c r="AC17" s="447"/>
      <c r="AD17" s="448" t="s">
        <v>25</v>
      </c>
      <c r="AE17" s="449">
        <f t="shared" si="3"/>
        <v>0.12339979013641134</v>
      </c>
      <c r="AF17" s="447">
        <f t="shared" si="4"/>
        <v>1.2964232204999424</v>
      </c>
      <c r="AG17" s="592"/>
      <c r="AH17" s="460" t="s">
        <v>25</v>
      </c>
      <c r="AI17" s="458"/>
      <c r="AJ17" s="461"/>
      <c r="AK17" s="598"/>
      <c r="AL17" s="21"/>
    </row>
    <row r="18" spans="1:38" ht="12.75" customHeight="1" hidden="1">
      <c r="A18" s="520">
        <v>8</v>
      </c>
      <c r="B18" s="520" t="s">
        <v>27</v>
      </c>
      <c r="C18" s="520"/>
      <c r="D18" s="22" t="s">
        <v>22</v>
      </c>
      <c r="E18" s="23"/>
      <c r="F18" s="24">
        <f>IF(E18=0,0,E18/SUM(E18:E21))</f>
        <v>0</v>
      </c>
      <c r="G18" s="412">
        <f t="shared" si="2"/>
        <v>0</v>
      </c>
      <c r="H18" s="441"/>
      <c r="I18" s="441"/>
      <c r="J18" s="441"/>
      <c r="K18" s="441"/>
      <c r="L18" s="441"/>
      <c r="M18" s="441"/>
      <c r="N18" s="414"/>
      <c r="O18" s="414">
        <f t="shared" si="0"/>
        <v>0</v>
      </c>
      <c r="P18" s="446">
        <f t="shared" si="0"/>
        <v>0</v>
      </c>
      <c r="Q18" s="446">
        <f t="shared" si="0"/>
        <v>0</v>
      </c>
      <c r="R18" s="446">
        <f t="shared" si="0"/>
        <v>0</v>
      </c>
      <c r="S18" s="414">
        <f aca="true" t="shared" si="6" ref="S18:S25">(H18+I18)/1000*$AF$3</f>
        <v>0</v>
      </c>
      <c r="T18" s="414">
        <f>(J18+K18)/1000*$AF$3</f>
        <v>0</v>
      </c>
      <c r="U18" s="414"/>
      <c r="V18" s="415"/>
      <c r="W18" s="415"/>
      <c r="X18" s="415"/>
      <c r="Y18" s="415"/>
      <c r="Z18" s="415"/>
      <c r="AA18" s="415">
        <f t="shared" si="5"/>
        <v>1.270130954959039E-06</v>
      </c>
      <c r="AB18" s="415">
        <f>1/10^(7.4287-4.79*LOG(T18+2)+(LOG((4.2-$AF$5)/(4.2-1.5)))*(1/(0.4+0.008633*(T18+2)^3.23/($AF$4+1)^5.19)-1/(0.4+1094/($AF$4+1)^5.19)))</f>
        <v>1.270130954959039E-06</v>
      </c>
      <c r="AC18" s="415"/>
      <c r="AD18" s="411" t="s">
        <v>22</v>
      </c>
      <c r="AE18" s="416">
        <f t="shared" si="3"/>
        <v>0</v>
      </c>
      <c r="AF18" s="415">
        <f t="shared" si="4"/>
        <v>2.540261909918078E-06</v>
      </c>
      <c r="AG18" s="593">
        <f>SUMPRODUCT(AE18:AE21,AF18:AF21)</f>
        <v>0</v>
      </c>
      <c r="AH18" s="137" t="s">
        <v>22</v>
      </c>
      <c r="AI18" s="23"/>
      <c r="AJ18" s="27"/>
      <c r="AK18" s="587"/>
      <c r="AL18" s="21"/>
    </row>
    <row r="19" spans="1:38" ht="12.75" customHeight="1" hidden="1">
      <c r="A19" s="608"/>
      <c r="B19" s="608"/>
      <c r="C19" s="521"/>
      <c r="D19" s="28" t="s">
        <v>23</v>
      </c>
      <c r="E19" s="29"/>
      <c r="F19" s="30">
        <f>IF(E19=0,0,E19/SUM(E18:E21))</f>
        <v>0</v>
      </c>
      <c r="G19" s="412">
        <f t="shared" si="2"/>
        <v>0</v>
      </c>
      <c r="H19" s="441"/>
      <c r="I19" s="441"/>
      <c r="J19" s="441"/>
      <c r="K19" s="441"/>
      <c r="L19" s="441"/>
      <c r="M19" s="441"/>
      <c r="N19" s="414"/>
      <c r="O19" s="414">
        <f t="shared" si="0"/>
        <v>0</v>
      </c>
      <c r="P19" s="446">
        <f t="shared" si="0"/>
        <v>0</v>
      </c>
      <c r="Q19" s="446">
        <f t="shared" si="0"/>
        <v>0</v>
      </c>
      <c r="R19" s="446">
        <f t="shared" si="0"/>
        <v>0</v>
      </c>
      <c r="S19" s="414">
        <f t="shared" si="6"/>
        <v>0</v>
      </c>
      <c r="T19" s="414">
        <f>(J19+K19)/1000*$AF$3</f>
        <v>0</v>
      </c>
      <c r="U19" s="414"/>
      <c r="V19" s="415"/>
      <c r="W19" s="415"/>
      <c r="X19" s="415"/>
      <c r="Y19" s="415"/>
      <c r="Z19" s="415"/>
      <c r="AA19" s="415">
        <f t="shared" si="5"/>
        <v>1.270130954959039E-06</v>
      </c>
      <c r="AB19" s="415">
        <f>1/10^(7.4287-4.79*LOG(T19+2)+(LOG((4.2-$AF$5)/(4.2-1.5)))*(1/(0.4+0.008633*(T19+2)^3.23/($AF$4+1)^5.19)-1/(0.4+1094/($AF$4+1)^5.19)))</f>
        <v>1.270130954959039E-06</v>
      </c>
      <c r="AC19" s="415"/>
      <c r="AD19" s="411" t="s">
        <v>23</v>
      </c>
      <c r="AE19" s="416">
        <f t="shared" si="3"/>
        <v>0</v>
      </c>
      <c r="AF19" s="415">
        <f t="shared" si="4"/>
        <v>2.540261909918078E-06</v>
      </c>
      <c r="AG19" s="594"/>
      <c r="AH19" s="138" t="s">
        <v>23</v>
      </c>
      <c r="AI19" s="29"/>
      <c r="AJ19" s="33"/>
      <c r="AK19" s="588"/>
      <c r="AL19" s="21"/>
    </row>
    <row r="20" spans="1:38" ht="12.75" customHeight="1" hidden="1">
      <c r="A20" s="608"/>
      <c r="B20" s="608"/>
      <c r="C20" s="521"/>
      <c r="D20" s="28" t="s">
        <v>24</v>
      </c>
      <c r="E20" s="29"/>
      <c r="F20" s="30">
        <f>IF(E20=0,0,E20/SUM(E18:E21))</f>
        <v>0</v>
      </c>
      <c r="G20" s="412">
        <f t="shared" si="2"/>
        <v>0</v>
      </c>
      <c r="H20" s="441"/>
      <c r="I20" s="441"/>
      <c r="J20" s="441"/>
      <c r="K20" s="441"/>
      <c r="L20" s="441"/>
      <c r="M20" s="441"/>
      <c r="N20" s="414"/>
      <c r="O20" s="414">
        <f t="shared" si="0"/>
        <v>0</v>
      </c>
      <c r="P20" s="446">
        <f t="shared" si="0"/>
        <v>0</v>
      </c>
      <c r="Q20" s="446">
        <f t="shared" si="0"/>
        <v>0</v>
      </c>
      <c r="R20" s="446">
        <f t="shared" si="0"/>
        <v>0</v>
      </c>
      <c r="S20" s="414">
        <f t="shared" si="6"/>
        <v>0</v>
      </c>
      <c r="T20" s="414">
        <f>(J20+K20)/1000*$AF$3</f>
        <v>0</v>
      </c>
      <c r="U20" s="414"/>
      <c r="V20" s="415"/>
      <c r="W20" s="415"/>
      <c r="X20" s="415"/>
      <c r="Y20" s="415"/>
      <c r="Z20" s="415"/>
      <c r="AA20" s="415">
        <f t="shared" si="5"/>
        <v>1.270130954959039E-06</v>
      </c>
      <c r="AB20" s="415">
        <f>1/10^(7.4287-4.79*LOG(T20+2)+(LOG((4.2-$AF$5)/(4.2-1.5)))*(1/(0.4+0.008633*(T20+2)^3.23/($AF$4+1)^5.19)-1/(0.4+1094/($AF$4+1)^5.19)))</f>
        <v>1.270130954959039E-06</v>
      </c>
      <c r="AC20" s="415"/>
      <c r="AD20" s="411" t="s">
        <v>24</v>
      </c>
      <c r="AE20" s="416">
        <f t="shared" si="3"/>
        <v>0</v>
      </c>
      <c r="AF20" s="415">
        <f t="shared" si="4"/>
        <v>2.540261909918078E-06</v>
      </c>
      <c r="AG20" s="594"/>
      <c r="AH20" s="138" t="s">
        <v>24</v>
      </c>
      <c r="AI20" s="29"/>
      <c r="AJ20" s="33"/>
      <c r="AK20" s="588"/>
      <c r="AL20" s="21"/>
    </row>
    <row r="21" spans="1:38" ht="12.75" customHeight="1" hidden="1">
      <c r="A21" s="609"/>
      <c r="B21" s="609"/>
      <c r="C21" s="522"/>
      <c r="D21" s="34" t="s">
        <v>25</v>
      </c>
      <c r="E21" s="35"/>
      <c r="F21" s="36">
        <f>IF(E21=0,0,E21/SUM(E18:E21))</f>
        <v>0</v>
      </c>
      <c r="G21" s="412">
        <f t="shared" si="2"/>
        <v>0</v>
      </c>
      <c r="H21" s="441"/>
      <c r="I21" s="441"/>
      <c r="J21" s="441"/>
      <c r="K21" s="441"/>
      <c r="L21" s="441"/>
      <c r="M21" s="441"/>
      <c r="N21" s="414"/>
      <c r="O21" s="414">
        <f t="shared" si="0"/>
        <v>0</v>
      </c>
      <c r="P21" s="446">
        <f t="shared" si="0"/>
        <v>0</v>
      </c>
      <c r="Q21" s="446">
        <f t="shared" si="0"/>
        <v>0</v>
      </c>
      <c r="R21" s="446">
        <f t="shared" si="0"/>
        <v>0</v>
      </c>
      <c r="S21" s="414">
        <f t="shared" si="6"/>
        <v>0</v>
      </c>
      <c r="T21" s="414">
        <f>(J21+K21)/1000*$AF$3</f>
        <v>0</v>
      </c>
      <c r="U21" s="414"/>
      <c r="V21" s="415"/>
      <c r="W21" s="415"/>
      <c r="X21" s="415"/>
      <c r="Y21" s="415"/>
      <c r="Z21" s="415"/>
      <c r="AA21" s="415">
        <f t="shared" si="5"/>
        <v>1.270130954959039E-06</v>
      </c>
      <c r="AB21" s="415">
        <f>1/10^(7.4287-4.79*LOG(T21+2)+(LOG((4.2-$AF$5)/(4.2-1.5)))*(1/(0.4+0.008633*(T21+2)^3.23/($AF$4+1)^5.19)-1/(0.4+1094/($AF$4+1)^5.19)))</f>
        <v>1.270130954959039E-06</v>
      </c>
      <c r="AC21" s="415"/>
      <c r="AD21" s="411" t="s">
        <v>25</v>
      </c>
      <c r="AE21" s="416">
        <f t="shared" si="3"/>
        <v>0</v>
      </c>
      <c r="AF21" s="415">
        <f t="shared" si="4"/>
        <v>2.540261909918078E-06</v>
      </c>
      <c r="AG21" s="595"/>
      <c r="AH21" s="139" t="s">
        <v>25</v>
      </c>
      <c r="AI21" s="35"/>
      <c r="AJ21" s="39"/>
      <c r="AK21" s="589"/>
      <c r="AL21" s="21"/>
    </row>
    <row r="22" spans="1:38" ht="12.75">
      <c r="A22" s="404"/>
      <c r="B22" s="404"/>
      <c r="C22" s="404"/>
      <c r="D22" s="1" t="s">
        <v>22</v>
      </c>
      <c r="E22" s="4">
        <v>2</v>
      </c>
      <c r="F22" s="13">
        <f>IF(E22=0,0,E22/SUM(E22:E25))</f>
        <v>0.005681818181818182</v>
      </c>
      <c r="G22" s="431">
        <f>SUM(H22:M22)</f>
        <v>8600</v>
      </c>
      <c r="H22" s="441">
        <v>1600</v>
      </c>
      <c r="I22" s="441">
        <v>1800</v>
      </c>
      <c r="J22" s="441">
        <v>3500</v>
      </c>
      <c r="K22" s="441">
        <v>1700</v>
      </c>
      <c r="L22" s="441"/>
      <c r="M22" s="441"/>
      <c r="N22" s="432"/>
      <c r="O22" s="414"/>
      <c r="P22" s="446"/>
      <c r="Q22" s="446"/>
      <c r="R22" s="446">
        <f t="shared" si="0"/>
        <v>0</v>
      </c>
      <c r="S22" s="432">
        <f t="shared" si="6"/>
        <v>7.497</v>
      </c>
      <c r="T22" s="432">
        <f>(K22+J22)/1000*$AF$3</f>
        <v>11.466000000000001</v>
      </c>
      <c r="U22" s="432"/>
      <c r="V22" s="433">
        <f>1/10^(6.1252-4.79*LOG(N22+1)+(LOG((4.2-$AF$5)/(4.2-1.5)))*(1/(0.4+0.081*(N22+1)^3.23/($AF$4+1)^5.19)-1/(0.4+1094/($AF$4+1)^5.19)))</f>
        <v>9.234530528827255E-07</v>
      </c>
      <c r="W22" s="433"/>
      <c r="X22" s="433"/>
      <c r="Y22" s="433"/>
      <c r="Z22" s="433"/>
      <c r="AA22" s="433">
        <f aca="true" t="shared" si="7" ref="AA22:AA29">1/10^(7.4287-4.79*LOG(S22+2)+(LOG((4.2-$AF$5)/(4.2-1.5)))*(1/(0.4+0.008633*(S22+2)^3.23/($AF$4+1)^5.19)-1/(0.4+1094/($AF$4+1)^5.19)))</f>
        <v>0.002204503972430833</v>
      </c>
      <c r="AB22" s="433"/>
      <c r="AC22" s="433"/>
      <c r="AD22" s="430" t="s">
        <v>22</v>
      </c>
      <c r="AE22" s="434">
        <f>F22</f>
        <v>0.005681818181818182</v>
      </c>
      <c r="AF22" s="433">
        <f>SUM(V22:AC22)</f>
        <v>0.002205427425483716</v>
      </c>
      <c r="AG22" s="605">
        <f>SUMPRODUCT(AE22:AE25,AF22:AF25)</f>
        <v>0.10409758676136227</v>
      </c>
      <c r="AH22" s="137" t="s">
        <v>22</v>
      </c>
      <c r="AI22" s="23"/>
      <c r="AJ22" s="27"/>
      <c r="AK22" s="587"/>
      <c r="AL22" s="21"/>
    </row>
    <row r="23" spans="1:38" ht="12.75">
      <c r="A23" s="404"/>
      <c r="B23" s="404"/>
      <c r="C23" s="404"/>
      <c r="D23" s="2" t="s">
        <v>23</v>
      </c>
      <c r="E23" s="5">
        <v>26</v>
      </c>
      <c r="F23" s="14">
        <f>IF(E23=0,0,E23/SUM(E22:E25))</f>
        <v>0.07386363636363637</v>
      </c>
      <c r="G23" s="431">
        <f>SUM(H23:M23)</f>
        <v>15854</v>
      </c>
      <c r="H23" s="441">
        <v>2862</v>
      </c>
      <c r="I23" s="441">
        <v>3042</v>
      </c>
      <c r="J23" s="441">
        <v>6912</v>
      </c>
      <c r="K23" s="441">
        <v>3038</v>
      </c>
      <c r="L23" s="441"/>
      <c r="M23" s="441"/>
      <c r="N23" s="432"/>
      <c r="O23" s="414"/>
      <c r="P23" s="446"/>
      <c r="Q23" s="446"/>
      <c r="R23" s="446">
        <f t="shared" si="0"/>
        <v>0</v>
      </c>
      <c r="S23" s="432">
        <f t="shared" si="6"/>
        <v>13.018320000000001</v>
      </c>
      <c r="T23" s="432">
        <f>(K23+J23)/1000*$AF$3</f>
        <v>21.93975</v>
      </c>
      <c r="U23" s="432"/>
      <c r="V23" s="433">
        <f>1/10^(6.1252-4.79*LOG(N23+1)+(LOG((4.2-$AF$5)/(4.2-1.5)))*(1/(0.4+0.081*(N23+1)^3.23/($AF$4+1)^5.19)-1/(0.4+1094/($AF$4+1)^5.19)))</f>
        <v>9.234530528827255E-07</v>
      </c>
      <c r="W23" s="433"/>
      <c r="X23" s="433"/>
      <c r="Y23" s="433"/>
      <c r="Z23" s="433"/>
      <c r="AA23" s="433">
        <f t="shared" si="7"/>
        <v>0.019610447305455164</v>
      </c>
      <c r="AB23" s="433"/>
      <c r="AC23" s="433"/>
      <c r="AD23" s="430" t="s">
        <v>23</v>
      </c>
      <c r="AE23" s="434">
        <f>F23</f>
        <v>0.07386363636363637</v>
      </c>
      <c r="AF23" s="433">
        <f>SUM(V23:AC23)</f>
        <v>0.019611370758508048</v>
      </c>
      <c r="AG23" s="606"/>
      <c r="AH23" s="138" t="s">
        <v>23</v>
      </c>
      <c r="AI23" s="29"/>
      <c r="AJ23" s="33"/>
      <c r="AK23" s="588"/>
      <c r="AL23" s="21"/>
    </row>
    <row r="24" spans="1:38" ht="12.75">
      <c r="A24" s="404">
        <v>8</v>
      </c>
      <c r="B24" s="428" t="s">
        <v>27</v>
      </c>
      <c r="C24" s="404"/>
      <c r="D24" s="2" t="s">
        <v>24</v>
      </c>
      <c r="E24" s="5">
        <v>181</v>
      </c>
      <c r="F24" s="14">
        <f>IF(E24=0,0,E24/SUM(E22:E25))</f>
        <v>0.5142045454545454</v>
      </c>
      <c r="G24" s="431">
        <f>SUM(H24:M24)</f>
        <v>22311</v>
      </c>
      <c r="H24" s="441">
        <v>4103</v>
      </c>
      <c r="I24" s="441">
        <v>4218</v>
      </c>
      <c r="J24" s="441">
        <v>9369</v>
      </c>
      <c r="K24" s="441">
        <v>4621</v>
      </c>
      <c r="L24" s="441"/>
      <c r="M24" s="441"/>
      <c r="N24" s="432"/>
      <c r="O24" s="414"/>
      <c r="P24" s="446"/>
      <c r="Q24" s="446"/>
      <c r="R24" s="446">
        <f t="shared" si="0"/>
        <v>0</v>
      </c>
      <c r="S24" s="432">
        <f t="shared" si="6"/>
        <v>18.347805</v>
      </c>
      <c r="T24" s="432">
        <f>(K24+J24)/1000*$AF$3</f>
        <v>30.84795</v>
      </c>
      <c r="U24" s="432"/>
      <c r="V24" s="433">
        <f>1/10^(6.1252-4.79*LOG(N24+1)+(LOG((4.2-$AF$5)/(4.2-1.5)))*(1/(0.4+0.081*(N24+1)^3.23/($AF$4+1)^5.19)-1/(0.4+1094/($AF$4+1)^5.19)))</f>
        <v>9.234530528827255E-07</v>
      </c>
      <c r="W24" s="433"/>
      <c r="X24" s="433"/>
      <c r="Y24" s="433"/>
      <c r="Z24" s="433"/>
      <c r="AA24" s="433">
        <f t="shared" si="7"/>
        <v>0.08230771971311104</v>
      </c>
      <c r="AB24" s="433"/>
      <c r="AC24" s="433"/>
      <c r="AD24" s="430" t="s">
        <v>24</v>
      </c>
      <c r="AE24" s="434">
        <f>F24</f>
        <v>0.5142045454545454</v>
      </c>
      <c r="AF24" s="433">
        <f>SUM(V24:AC24)</f>
        <v>0.08230864316616393</v>
      </c>
      <c r="AG24" s="606"/>
      <c r="AH24" s="138" t="s">
        <v>24</v>
      </c>
      <c r="AI24" s="29"/>
      <c r="AJ24" s="33"/>
      <c r="AK24" s="588"/>
      <c r="AL24" s="21"/>
    </row>
    <row r="25" spans="1:38" ht="12.75">
      <c r="A25" s="404"/>
      <c r="B25" s="404"/>
      <c r="C25" s="404"/>
      <c r="D25" s="3" t="s">
        <v>25</v>
      </c>
      <c r="E25" s="6">
        <v>143</v>
      </c>
      <c r="F25" s="15">
        <f>IF(E25=0,0,E25/SUM(E22:E25))</f>
        <v>0.40625</v>
      </c>
      <c r="G25" s="431">
        <f>SUM(H25:M25)</f>
        <v>25230</v>
      </c>
      <c r="H25" s="441">
        <v>4710</v>
      </c>
      <c r="I25" s="441">
        <v>4855</v>
      </c>
      <c r="J25" s="441">
        <v>10427</v>
      </c>
      <c r="K25" s="441">
        <v>5238</v>
      </c>
      <c r="L25" s="441"/>
      <c r="M25" s="441"/>
      <c r="N25" s="432"/>
      <c r="O25" s="414"/>
      <c r="P25" s="446"/>
      <c r="Q25" s="446"/>
      <c r="R25" s="446">
        <f t="shared" si="0"/>
        <v>0</v>
      </c>
      <c r="S25" s="432">
        <f t="shared" si="6"/>
        <v>21.090825</v>
      </c>
      <c r="T25" s="432">
        <f>(K25+J25)/1000*$AF$3</f>
        <v>34.541325</v>
      </c>
      <c r="U25" s="432"/>
      <c r="V25" s="433">
        <f>1/10^(6.1252-4.79*LOG(N25+1)+(LOG((4.2-$AF$5)/(4.2-1.5)))*(1/(0.4+0.081*(N25+1)^3.23/($AF$4+1)^5.19)-1/(0.4+1094/($AF$4+1)^5.19)))</f>
        <v>9.234530528827255E-07</v>
      </c>
      <c r="W25" s="433"/>
      <c r="X25" s="433"/>
      <c r="Y25" s="433"/>
      <c r="Z25" s="433"/>
      <c r="AA25" s="433">
        <f t="shared" si="7"/>
        <v>0.14846187117877702</v>
      </c>
      <c r="AB25" s="433"/>
      <c r="AC25" s="433"/>
      <c r="AD25" s="430" t="s">
        <v>25</v>
      </c>
      <c r="AE25" s="434">
        <f>F25</f>
        <v>0.40625</v>
      </c>
      <c r="AF25" s="433">
        <f>SUM(V25:AC25)</f>
        <v>0.1484627946318299</v>
      </c>
      <c r="AG25" s="607"/>
      <c r="AH25" s="139" t="s">
        <v>25</v>
      </c>
      <c r="AI25" s="35"/>
      <c r="AJ25" s="39"/>
      <c r="AK25" s="589"/>
      <c r="AL25" s="21"/>
    </row>
    <row r="26" spans="1:38" ht="12.75">
      <c r="A26" s="611">
        <v>9</v>
      </c>
      <c r="B26" s="611" t="s">
        <v>28</v>
      </c>
      <c r="C26" s="611"/>
      <c r="D26" s="442" t="s">
        <v>22</v>
      </c>
      <c r="E26" s="443">
        <v>582</v>
      </c>
      <c r="F26" s="444">
        <f>IF(E26=0,0,E26/SUM(E26:E29))</f>
        <v>0.09768378650553877</v>
      </c>
      <c r="G26" s="445">
        <f t="shared" si="2"/>
        <v>5625</v>
      </c>
      <c r="H26" s="445">
        <v>2707</v>
      </c>
      <c r="I26" s="445">
        <v>2918</v>
      </c>
      <c r="J26" s="445"/>
      <c r="K26" s="445"/>
      <c r="L26" s="445"/>
      <c r="M26" s="445"/>
      <c r="N26" s="446">
        <f aca="true" t="shared" si="8" ref="N26:R41">H26/1000*$AF$3</f>
        <v>5.968935</v>
      </c>
      <c r="O26" s="446">
        <f t="shared" si="8"/>
        <v>6.434190000000001</v>
      </c>
      <c r="P26" s="446">
        <f t="shared" si="8"/>
        <v>0</v>
      </c>
      <c r="Q26" s="446">
        <f t="shared" si="8"/>
        <v>0</v>
      </c>
      <c r="R26" s="446">
        <f t="shared" si="8"/>
        <v>0</v>
      </c>
      <c r="S26" s="446"/>
      <c r="T26" s="446"/>
      <c r="U26" s="446"/>
      <c r="V26" s="447">
        <f aca="true" t="shared" si="9" ref="V26:W33">1/10^(6.1252-4.79*LOG(N26+1)+(LOG((4.2-$AF$5)/(4.2-1.5)))*(1/(0.4+0.081*(N26+1)^3.23/($AF$4+1)^5.19)-1/(0.4+1094/($AF$4+1)^5.19)))</f>
        <v>0.009997619432662487</v>
      </c>
      <c r="W26" s="447">
        <f t="shared" si="9"/>
        <v>0.013594163978859276</v>
      </c>
      <c r="X26" s="447"/>
      <c r="Y26" s="447"/>
      <c r="Z26" s="447"/>
      <c r="AA26" s="447">
        <f t="shared" si="7"/>
        <v>1.270130954959039E-06</v>
      </c>
      <c r="AB26" s="447"/>
      <c r="AC26" s="447"/>
      <c r="AD26" s="448" t="s">
        <v>22</v>
      </c>
      <c r="AE26" s="449">
        <f t="shared" si="3"/>
        <v>0.09768378650553877</v>
      </c>
      <c r="AF26" s="447">
        <f t="shared" si="4"/>
        <v>0.023593053542476723</v>
      </c>
      <c r="AG26" s="590">
        <f>SUMPRODUCT(AE26:AE29,AF26:AF29)</f>
        <v>1.1862001495126444</v>
      </c>
      <c r="AH26" s="450" t="s">
        <v>22</v>
      </c>
      <c r="AI26" s="443"/>
      <c r="AJ26" s="451"/>
      <c r="AK26" s="596"/>
      <c r="AL26" s="21"/>
    </row>
    <row r="27" spans="1:38" ht="12.75">
      <c r="A27" s="608"/>
      <c r="B27" s="608"/>
      <c r="C27" s="612"/>
      <c r="D27" s="452" t="s">
        <v>23</v>
      </c>
      <c r="E27" s="453">
        <v>3006</v>
      </c>
      <c r="F27" s="454">
        <f>IF(E27=0,0,E27/SUM(E26:E29))</f>
        <v>0.5045317220543807</v>
      </c>
      <c r="G27" s="445">
        <f t="shared" si="2"/>
        <v>9219</v>
      </c>
      <c r="H27" s="445">
        <v>4152</v>
      </c>
      <c r="I27" s="445">
        <v>5067</v>
      </c>
      <c r="J27" s="445"/>
      <c r="K27" s="445"/>
      <c r="L27" s="445"/>
      <c r="M27" s="445"/>
      <c r="N27" s="446">
        <f t="shared" si="8"/>
        <v>9.15516</v>
      </c>
      <c r="O27" s="446">
        <f t="shared" si="8"/>
        <v>11.172735000000001</v>
      </c>
      <c r="P27" s="446">
        <f t="shared" si="8"/>
        <v>0</v>
      </c>
      <c r="Q27" s="446">
        <f t="shared" si="8"/>
        <v>0</v>
      </c>
      <c r="R27" s="446">
        <f t="shared" si="8"/>
        <v>0</v>
      </c>
      <c r="S27" s="446"/>
      <c r="T27" s="446"/>
      <c r="U27" s="446"/>
      <c r="V27" s="447">
        <f t="shared" si="9"/>
        <v>0.05932716248319946</v>
      </c>
      <c r="W27" s="447">
        <f t="shared" si="9"/>
        <v>0.1378788096824299</v>
      </c>
      <c r="X27" s="447"/>
      <c r="Y27" s="447"/>
      <c r="Z27" s="447"/>
      <c r="AA27" s="447">
        <f t="shared" si="7"/>
        <v>1.270130954959039E-06</v>
      </c>
      <c r="AB27" s="447"/>
      <c r="AC27" s="447"/>
      <c r="AD27" s="448" t="s">
        <v>23</v>
      </c>
      <c r="AE27" s="449">
        <f t="shared" si="3"/>
        <v>0.5045317220543807</v>
      </c>
      <c r="AF27" s="447">
        <f t="shared" si="4"/>
        <v>0.19720724229658435</v>
      </c>
      <c r="AG27" s="591"/>
      <c r="AH27" s="455" t="s">
        <v>23</v>
      </c>
      <c r="AI27" s="453"/>
      <c r="AJ27" s="456"/>
      <c r="AK27" s="597"/>
      <c r="AL27" s="21"/>
    </row>
    <row r="28" spans="1:38" ht="12.75">
      <c r="A28" s="608"/>
      <c r="B28" s="608"/>
      <c r="C28" s="612"/>
      <c r="D28" s="452" t="s">
        <v>24</v>
      </c>
      <c r="E28" s="453">
        <v>1125</v>
      </c>
      <c r="F28" s="454">
        <f>IF(E28=0,0,E28/SUM(E26:E29))</f>
        <v>0.18882175226586104</v>
      </c>
      <c r="G28" s="445">
        <f t="shared" si="2"/>
        <v>14998</v>
      </c>
      <c r="H28" s="445">
        <v>5996</v>
      </c>
      <c r="I28" s="445">
        <v>9002</v>
      </c>
      <c r="J28" s="445"/>
      <c r="K28" s="445"/>
      <c r="L28" s="445"/>
      <c r="M28" s="445"/>
      <c r="N28" s="446">
        <f t="shared" si="8"/>
        <v>13.221180000000002</v>
      </c>
      <c r="O28" s="446">
        <f t="shared" si="8"/>
        <v>19.849410000000002</v>
      </c>
      <c r="P28" s="446">
        <f t="shared" si="8"/>
        <v>0</v>
      </c>
      <c r="Q28" s="446">
        <f t="shared" si="8"/>
        <v>0</v>
      </c>
      <c r="R28" s="446">
        <f t="shared" si="8"/>
        <v>0</v>
      </c>
      <c r="S28" s="446"/>
      <c r="T28" s="446"/>
      <c r="U28" s="446"/>
      <c r="V28" s="447">
        <f t="shared" si="9"/>
        <v>0.2805883448671436</v>
      </c>
      <c r="W28" s="447">
        <f t="shared" si="9"/>
        <v>1.4751874082544596</v>
      </c>
      <c r="X28" s="447"/>
      <c r="Y28" s="447"/>
      <c r="Z28" s="447"/>
      <c r="AA28" s="447">
        <f t="shared" si="7"/>
        <v>1.270130954959039E-06</v>
      </c>
      <c r="AB28" s="447"/>
      <c r="AC28" s="447"/>
      <c r="AD28" s="448" t="s">
        <v>24</v>
      </c>
      <c r="AE28" s="449">
        <f t="shared" si="3"/>
        <v>0.18882175226586104</v>
      </c>
      <c r="AF28" s="447">
        <f t="shared" si="4"/>
        <v>1.755777023252558</v>
      </c>
      <c r="AG28" s="591"/>
      <c r="AH28" s="455" t="s">
        <v>24</v>
      </c>
      <c r="AI28" s="453"/>
      <c r="AJ28" s="456"/>
      <c r="AK28" s="597"/>
      <c r="AL28" s="21"/>
    </row>
    <row r="29" spans="1:38" ht="12.75">
      <c r="A29" s="609"/>
      <c r="B29" s="609"/>
      <c r="C29" s="613"/>
      <c r="D29" s="457" t="s">
        <v>25</v>
      </c>
      <c r="E29" s="458">
        <v>1245</v>
      </c>
      <c r="F29" s="459">
        <f>IF(E29=0,0,E29/SUM(E26:E29))</f>
        <v>0.20896273917421954</v>
      </c>
      <c r="G29" s="445">
        <f t="shared" si="2"/>
        <v>18805</v>
      </c>
      <c r="H29" s="445">
        <v>8691</v>
      </c>
      <c r="I29" s="445">
        <v>10114</v>
      </c>
      <c r="J29" s="445"/>
      <c r="K29" s="445"/>
      <c r="L29" s="445"/>
      <c r="M29" s="445"/>
      <c r="N29" s="446">
        <f t="shared" si="8"/>
        <v>19.163655000000002</v>
      </c>
      <c r="O29" s="446">
        <f t="shared" si="8"/>
        <v>22.301370000000002</v>
      </c>
      <c r="P29" s="446">
        <f t="shared" si="8"/>
        <v>0</v>
      </c>
      <c r="Q29" s="446">
        <f t="shared" si="8"/>
        <v>0</v>
      </c>
      <c r="R29" s="446">
        <f t="shared" si="8"/>
        <v>0</v>
      </c>
      <c r="S29" s="446"/>
      <c r="T29" s="446"/>
      <c r="U29" s="446"/>
      <c r="V29" s="447">
        <f t="shared" si="9"/>
        <v>1.284026852049736</v>
      </c>
      <c r="W29" s="447">
        <f t="shared" si="9"/>
        <v>2.3188595984072227</v>
      </c>
      <c r="X29" s="447"/>
      <c r="Y29" s="447"/>
      <c r="Z29" s="447"/>
      <c r="AA29" s="447">
        <f t="shared" si="7"/>
        <v>1.270130954959039E-06</v>
      </c>
      <c r="AB29" s="447"/>
      <c r="AC29" s="447"/>
      <c r="AD29" s="448" t="s">
        <v>25</v>
      </c>
      <c r="AE29" s="449">
        <f t="shared" si="3"/>
        <v>0.20896273917421954</v>
      </c>
      <c r="AF29" s="447">
        <f t="shared" si="4"/>
        <v>3.6028877205879137</v>
      </c>
      <c r="AG29" s="592"/>
      <c r="AH29" s="460" t="s">
        <v>25</v>
      </c>
      <c r="AI29" s="458"/>
      <c r="AJ29" s="461"/>
      <c r="AK29" s="598"/>
      <c r="AL29" s="21"/>
    </row>
    <row r="30" spans="1:38" ht="12.75">
      <c r="A30" s="520">
        <v>10</v>
      </c>
      <c r="B30" s="520" t="s">
        <v>29</v>
      </c>
      <c r="C30" s="520"/>
      <c r="D30" s="22" t="s">
        <v>22</v>
      </c>
      <c r="E30" s="23">
        <v>154</v>
      </c>
      <c r="F30" s="24">
        <f>IF(E30=0,0,E30/SUM(E30:E33))</f>
        <v>0.05248807089297887</v>
      </c>
      <c r="G30" s="412">
        <f t="shared" si="2"/>
        <v>8237</v>
      </c>
      <c r="H30" s="441">
        <v>3349</v>
      </c>
      <c r="I30" s="441">
        <v>2447</v>
      </c>
      <c r="J30" s="441">
        <v>2441</v>
      </c>
      <c r="K30" s="441"/>
      <c r="L30" s="441"/>
      <c r="M30" s="441"/>
      <c r="N30" s="414">
        <f>H30/1000*$AF$3</f>
        <v>7.384545000000001</v>
      </c>
      <c r="O30" s="446"/>
      <c r="P30" s="446"/>
      <c r="Q30" s="446">
        <f t="shared" si="8"/>
        <v>0</v>
      </c>
      <c r="R30" s="446">
        <f t="shared" si="8"/>
        <v>0</v>
      </c>
      <c r="S30" s="414">
        <f>(I30+J30)/1000*$AF$3</f>
        <v>10.77804</v>
      </c>
      <c r="T30" s="414"/>
      <c r="U30" s="414"/>
      <c r="V30" s="415">
        <f>1/10^(6.1252-4.79*LOG(N30+1)+(LOG((4.2-$AF$5)/(4.2-1.5)))*(1/(0.4+0.081*(N30+1)^3.23/($AF$4+1)^5.19)-1/(0.4+1094/($AF$4+1)^5.19)))</f>
        <v>0.024051467754933862</v>
      </c>
      <c r="W30" s="415">
        <f t="shared" si="9"/>
        <v>9.234530528827255E-07</v>
      </c>
      <c r="X30" s="415"/>
      <c r="Y30" s="415"/>
      <c r="Z30" s="415"/>
      <c r="AA30" s="415">
        <f aca="true" t="shared" si="10" ref="AA30:AA37">1/10^(7.4287-4.79*LOG(S30+2)+(LOG((4.2-$AF$5)/(4.2-1.5)))*(1/(0.4+0.008633*(S30+2)^3.23/($AF$4+1)^5.19)-1/(0.4+1094/($AF$4+1)^5.19)))</f>
        <v>0.009091529763162262</v>
      </c>
      <c r="AB30" s="415"/>
      <c r="AC30" s="415"/>
      <c r="AD30" s="411" t="s">
        <v>22</v>
      </c>
      <c r="AE30" s="416">
        <f t="shared" si="3"/>
        <v>0.05248807089297887</v>
      </c>
      <c r="AF30" s="415">
        <f t="shared" si="4"/>
        <v>0.03314392097114901</v>
      </c>
      <c r="AG30" s="593">
        <f>SUMPRODUCT(AE30:AE33,AF30:AF33)</f>
        <v>2.2580304787332457</v>
      </c>
      <c r="AH30" s="137" t="s">
        <v>22</v>
      </c>
      <c r="AI30" s="23"/>
      <c r="AJ30" s="27"/>
      <c r="AK30" s="587"/>
      <c r="AL30" s="21"/>
    </row>
    <row r="31" spans="1:38" ht="12.75">
      <c r="A31" s="608"/>
      <c r="B31" s="608"/>
      <c r="C31" s="521"/>
      <c r="D31" s="28" t="s">
        <v>23</v>
      </c>
      <c r="E31" s="29">
        <v>642</v>
      </c>
      <c r="F31" s="30">
        <f>IF(E31=0,0,E31/SUM(E30:E33))</f>
        <v>0.21881390593047034</v>
      </c>
      <c r="G31" s="412">
        <f t="shared" si="2"/>
        <v>14089</v>
      </c>
      <c r="H31" s="441">
        <v>4947</v>
      </c>
      <c r="I31" s="441">
        <v>4769</v>
      </c>
      <c r="J31" s="441">
        <v>4373</v>
      </c>
      <c r="K31" s="441"/>
      <c r="L31" s="441"/>
      <c r="M31" s="441"/>
      <c r="N31" s="414">
        <f>H31/1000*$AF$3</f>
        <v>10.908135</v>
      </c>
      <c r="O31" s="446"/>
      <c r="P31" s="446"/>
      <c r="Q31" s="446">
        <f t="shared" si="8"/>
        <v>0</v>
      </c>
      <c r="R31" s="446">
        <f t="shared" si="8"/>
        <v>0</v>
      </c>
      <c r="S31" s="414">
        <f>(I31+J31)/1000*$AF$3</f>
        <v>20.15811</v>
      </c>
      <c r="T31" s="414"/>
      <c r="U31" s="414"/>
      <c r="V31" s="415">
        <f>1/10^(6.1252-4.79*LOG(N31+1)+(LOG((4.2-$AF$5)/(4.2-1.5)))*(1/(0.4+0.081*(N31+1)^3.23/($AF$4+1)^5.19)-1/(0.4+1094/($AF$4+1)^5.19)))</f>
        <v>0.12456875517390407</v>
      </c>
      <c r="W31" s="415">
        <f t="shared" si="9"/>
        <v>9.234530528827255E-07</v>
      </c>
      <c r="X31" s="415"/>
      <c r="Y31" s="415"/>
      <c r="Z31" s="415"/>
      <c r="AA31" s="415">
        <f t="shared" si="10"/>
        <v>0.12257022607229459</v>
      </c>
      <c r="AB31" s="415"/>
      <c r="AC31" s="415"/>
      <c r="AD31" s="411" t="s">
        <v>23</v>
      </c>
      <c r="AE31" s="416">
        <f t="shared" si="3"/>
        <v>0.21881390593047034</v>
      </c>
      <c r="AF31" s="415">
        <f t="shared" si="4"/>
        <v>0.24713990469925157</v>
      </c>
      <c r="AG31" s="594"/>
      <c r="AH31" s="138" t="s">
        <v>23</v>
      </c>
      <c r="AI31" s="29"/>
      <c r="AJ31" s="33"/>
      <c r="AK31" s="588"/>
      <c r="AL31" s="21"/>
    </row>
    <row r="32" spans="1:38" ht="12.75">
      <c r="A32" s="608"/>
      <c r="B32" s="608"/>
      <c r="C32" s="521"/>
      <c r="D32" s="28" t="s">
        <v>24</v>
      </c>
      <c r="E32" s="29">
        <v>770</v>
      </c>
      <c r="F32" s="30">
        <f>IF(E32=0,0,E32/SUM(E30:E33))</f>
        <v>0.26244035446489433</v>
      </c>
      <c r="G32" s="412">
        <f t="shared" si="2"/>
        <v>21937</v>
      </c>
      <c r="H32" s="441">
        <v>6318</v>
      </c>
      <c r="I32" s="441">
        <v>8108</v>
      </c>
      <c r="J32" s="441">
        <v>7511</v>
      </c>
      <c r="K32" s="441"/>
      <c r="L32" s="441"/>
      <c r="M32" s="441"/>
      <c r="N32" s="414">
        <f>H32/1000*$AF$3</f>
        <v>13.931189999999999</v>
      </c>
      <c r="O32" s="446"/>
      <c r="P32" s="446"/>
      <c r="Q32" s="446">
        <f t="shared" si="8"/>
        <v>0</v>
      </c>
      <c r="R32" s="446">
        <f t="shared" si="8"/>
        <v>0</v>
      </c>
      <c r="S32" s="414">
        <f>(I32+J32)/1000*$AF$3</f>
        <v>34.439895</v>
      </c>
      <c r="T32" s="414"/>
      <c r="U32" s="414"/>
      <c r="V32" s="415">
        <f>1/10^(6.1252-4.79*LOG(N32+1)+(LOG((4.2-$AF$5)/(4.2-1.5)))*(1/(0.4+0.081*(N32+1)^3.23/($AF$4+1)^5.19)-1/(0.4+1094/($AF$4+1)^5.19)))</f>
        <v>0.34933493075399435</v>
      </c>
      <c r="W32" s="415">
        <f t="shared" si="9"/>
        <v>9.234530528827255E-07</v>
      </c>
      <c r="X32" s="415"/>
      <c r="Y32" s="415"/>
      <c r="Z32" s="415"/>
      <c r="AA32" s="415">
        <f t="shared" si="10"/>
        <v>1.1505471897613604</v>
      </c>
      <c r="AB32" s="415"/>
      <c r="AC32" s="415"/>
      <c r="AD32" s="411" t="s">
        <v>24</v>
      </c>
      <c r="AE32" s="416">
        <f t="shared" si="3"/>
        <v>0.26244035446489433</v>
      </c>
      <c r="AF32" s="415">
        <f t="shared" si="4"/>
        <v>1.4998830439684077</v>
      </c>
      <c r="AG32" s="594"/>
      <c r="AH32" s="138" t="s">
        <v>24</v>
      </c>
      <c r="AI32" s="29"/>
      <c r="AJ32" s="33"/>
      <c r="AK32" s="588"/>
      <c r="AL32" s="21"/>
    </row>
    <row r="33" spans="1:38" ht="12.75">
      <c r="A33" s="609"/>
      <c r="B33" s="609"/>
      <c r="C33" s="522"/>
      <c r="D33" s="34" t="s">
        <v>25</v>
      </c>
      <c r="E33" s="35">
        <v>1368</v>
      </c>
      <c r="F33" s="36">
        <f>IF(E33=0,0,E33/SUM(E30:E33))</f>
        <v>0.4662576687116564</v>
      </c>
      <c r="G33" s="412">
        <f t="shared" si="2"/>
        <v>27558</v>
      </c>
      <c r="H33" s="441">
        <v>9517</v>
      </c>
      <c r="I33" s="441">
        <v>8715</v>
      </c>
      <c r="J33" s="441">
        <v>9326</v>
      </c>
      <c r="K33" s="441"/>
      <c r="L33" s="441"/>
      <c r="M33" s="441"/>
      <c r="N33" s="414">
        <f>H33/1000*$AF$3</f>
        <v>20.984984999999998</v>
      </c>
      <c r="O33" s="446"/>
      <c r="P33" s="446"/>
      <c r="Q33" s="446">
        <f t="shared" si="8"/>
        <v>0</v>
      </c>
      <c r="R33" s="446">
        <f t="shared" si="8"/>
        <v>0</v>
      </c>
      <c r="S33" s="414">
        <f>(I33+J33)/1000*$AF$3</f>
        <v>39.780405</v>
      </c>
      <c r="T33" s="414"/>
      <c r="U33" s="414"/>
      <c r="V33" s="415">
        <f>1/10^(6.1252-4.79*LOG(N33+1)+(LOG((4.2-$AF$5)/(4.2-1.5)))*(1/(0.4+0.081*(N33+1)^3.23/($AF$4+1)^5.19)-1/(0.4+1094/($AF$4+1)^5.19)))</f>
        <v>1.8335008027658688</v>
      </c>
      <c r="W33" s="415">
        <f t="shared" si="9"/>
        <v>9.234530528827255E-07</v>
      </c>
      <c r="X33" s="415"/>
      <c r="Y33" s="415"/>
      <c r="Z33" s="415"/>
      <c r="AA33" s="415">
        <f t="shared" si="10"/>
        <v>2.0454335794106053</v>
      </c>
      <c r="AB33" s="415"/>
      <c r="AC33" s="415"/>
      <c r="AD33" s="411" t="s">
        <v>25</v>
      </c>
      <c r="AE33" s="416">
        <f t="shared" si="3"/>
        <v>0.4662576687116564</v>
      </c>
      <c r="AF33" s="415">
        <f t="shared" si="4"/>
        <v>3.8789353056295273</v>
      </c>
      <c r="AG33" s="595"/>
      <c r="AH33" s="139" t="s">
        <v>25</v>
      </c>
      <c r="AI33" s="35"/>
      <c r="AJ33" s="39"/>
      <c r="AK33" s="589"/>
      <c r="AL33" s="21"/>
    </row>
    <row r="34" spans="1:38" ht="12.75" customHeight="1" hidden="1">
      <c r="A34" s="517">
        <v>11</v>
      </c>
      <c r="B34" s="517" t="s">
        <v>30</v>
      </c>
      <c r="C34" s="517"/>
      <c r="D34" s="1" t="s">
        <v>22</v>
      </c>
      <c r="E34" s="4"/>
      <c r="F34" s="13">
        <f>IF(E34=0,0,E34/SUM(E34:E37))</f>
        <v>0</v>
      </c>
      <c r="G34" s="431">
        <f t="shared" si="2"/>
        <v>0</v>
      </c>
      <c r="H34" s="441"/>
      <c r="I34" s="441"/>
      <c r="J34" s="441"/>
      <c r="K34" s="441"/>
      <c r="L34" s="441"/>
      <c r="M34" s="441"/>
      <c r="N34" s="432"/>
      <c r="O34" s="432"/>
      <c r="P34" s="446">
        <f t="shared" si="8"/>
        <v>0</v>
      </c>
      <c r="Q34" s="446">
        <f t="shared" si="8"/>
        <v>0</v>
      </c>
      <c r="R34" s="446">
        <f t="shared" si="8"/>
        <v>0</v>
      </c>
      <c r="S34" s="432">
        <f>(H34+I34)/1000*$AF$3</f>
        <v>0</v>
      </c>
      <c r="T34" s="432">
        <f>(J34+K34)/1000*$AF$3</f>
        <v>0</v>
      </c>
      <c r="U34" s="432"/>
      <c r="V34" s="433"/>
      <c r="W34" s="433"/>
      <c r="X34" s="433"/>
      <c r="Y34" s="433"/>
      <c r="Z34" s="433"/>
      <c r="AA34" s="433">
        <f t="shared" si="10"/>
        <v>1.270130954959039E-06</v>
      </c>
      <c r="AB34" s="433">
        <f>1/10^(7.4287-4.79*LOG(T34+2)+(LOG((4.2-$AF$5)/(4.2-1.5)))*(1/(0.4+0.008633*(T34+2)^3.23/($AF$4+1)^5.19)-1/(0.4+1094/($AF$4+1)^5.19)))</f>
        <v>1.270130954959039E-06</v>
      </c>
      <c r="AC34" s="433"/>
      <c r="AD34" s="430" t="s">
        <v>22</v>
      </c>
      <c r="AE34" s="434">
        <f t="shared" si="3"/>
        <v>0</v>
      </c>
      <c r="AF34" s="433">
        <f t="shared" si="4"/>
        <v>2.540261909918078E-06</v>
      </c>
      <c r="AG34" s="605">
        <f>SUMPRODUCT(AE34:AE37,AF34:AF37)</f>
        <v>0</v>
      </c>
      <c r="AH34" s="137" t="s">
        <v>22</v>
      </c>
      <c r="AI34" s="23"/>
      <c r="AJ34" s="27"/>
      <c r="AK34" s="587"/>
      <c r="AL34" s="21"/>
    </row>
    <row r="35" spans="1:38" ht="12.75" customHeight="1" hidden="1">
      <c r="A35" s="608"/>
      <c r="B35" s="608"/>
      <c r="C35" s="518"/>
      <c r="D35" s="2" t="s">
        <v>23</v>
      </c>
      <c r="E35" s="5"/>
      <c r="F35" s="14">
        <f>IF(E35=0,0,E35/SUM(E34:E37))</f>
        <v>0</v>
      </c>
      <c r="G35" s="431">
        <f t="shared" si="2"/>
        <v>0</v>
      </c>
      <c r="H35" s="441"/>
      <c r="I35" s="441"/>
      <c r="J35" s="441"/>
      <c r="K35" s="441"/>
      <c r="L35" s="441"/>
      <c r="M35" s="441"/>
      <c r="N35" s="432"/>
      <c r="O35" s="432"/>
      <c r="P35" s="446">
        <f t="shared" si="8"/>
        <v>0</v>
      </c>
      <c r="Q35" s="446">
        <f t="shared" si="8"/>
        <v>0</v>
      </c>
      <c r="R35" s="446">
        <f t="shared" si="8"/>
        <v>0</v>
      </c>
      <c r="S35" s="432">
        <f>(H35+I35)/1000*$AF$3</f>
        <v>0</v>
      </c>
      <c r="T35" s="432">
        <f>(J35+K35)/1000*$AF$3</f>
        <v>0</v>
      </c>
      <c r="U35" s="432"/>
      <c r="V35" s="433"/>
      <c r="W35" s="433"/>
      <c r="X35" s="433"/>
      <c r="Y35" s="433"/>
      <c r="Z35" s="433"/>
      <c r="AA35" s="433">
        <f t="shared" si="10"/>
        <v>1.270130954959039E-06</v>
      </c>
      <c r="AB35" s="433">
        <f>1/10^(7.4287-4.79*LOG(T35+2)+(LOG((4.2-$AF$5)/(4.2-1.5)))*(1/(0.4+0.008633*(T35+2)^3.23/($AF$4+1)^5.19)-1/(0.4+1094/($AF$4+1)^5.19)))</f>
        <v>1.270130954959039E-06</v>
      </c>
      <c r="AC35" s="433"/>
      <c r="AD35" s="430" t="s">
        <v>23</v>
      </c>
      <c r="AE35" s="434">
        <f t="shared" si="3"/>
        <v>0</v>
      </c>
      <c r="AF35" s="433">
        <f t="shared" si="4"/>
        <v>2.540261909918078E-06</v>
      </c>
      <c r="AG35" s="606"/>
      <c r="AH35" s="138" t="s">
        <v>23</v>
      </c>
      <c r="AI35" s="29"/>
      <c r="AJ35" s="33"/>
      <c r="AK35" s="588"/>
      <c r="AL35" s="21"/>
    </row>
    <row r="36" spans="1:38" ht="12.75" customHeight="1" hidden="1">
      <c r="A36" s="608"/>
      <c r="B36" s="608"/>
      <c r="C36" s="518"/>
      <c r="D36" s="2" t="s">
        <v>24</v>
      </c>
      <c r="E36" s="5"/>
      <c r="F36" s="14">
        <f>IF(E36=0,0,E36/SUM(E34:E37))</f>
        <v>0</v>
      </c>
      <c r="G36" s="431">
        <f t="shared" si="2"/>
        <v>0</v>
      </c>
      <c r="H36" s="441"/>
      <c r="I36" s="441"/>
      <c r="J36" s="441"/>
      <c r="K36" s="441"/>
      <c r="L36" s="441"/>
      <c r="M36" s="441"/>
      <c r="N36" s="432"/>
      <c r="O36" s="432"/>
      <c r="P36" s="446">
        <f t="shared" si="8"/>
        <v>0</v>
      </c>
      <c r="Q36" s="446">
        <f t="shared" si="8"/>
        <v>0</v>
      </c>
      <c r="R36" s="446">
        <f t="shared" si="8"/>
        <v>0</v>
      </c>
      <c r="S36" s="432">
        <f>(H36+I36)/1000*$AF$3</f>
        <v>0</v>
      </c>
      <c r="T36" s="432">
        <f>(J36+K36)/1000*$AF$3</f>
        <v>0</v>
      </c>
      <c r="U36" s="432"/>
      <c r="V36" s="433"/>
      <c r="W36" s="433"/>
      <c r="X36" s="433"/>
      <c r="Y36" s="433"/>
      <c r="Z36" s="433"/>
      <c r="AA36" s="433">
        <f t="shared" si="10"/>
        <v>1.270130954959039E-06</v>
      </c>
      <c r="AB36" s="433">
        <f>1/10^(7.4287-4.79*LOG(T36+2)+(LOG((4.2-$AF$5)/(4.2-1.5)))*(1/(0.4+0.008633*(T36+2)^3.23/($AF$4+1)^5.19)-1/(0.4+1094/($AF$4+1)^5.19)))</f>
        <v>1.270130954959039E-06</v>
      </c>
      <c r="AC36" s="433"/>
      <c r="AD36" s="430" t="s">
        <v>24</v>
      </c>
      <c r="AE36" s="434">
        <f t="shared" si="3"/>
        <v>0</v>
      </c>
      <c r="AF36" s="433">
        <f t="shared" si="4"/>
        <v>2.540261909918078E-06</v>
      </c>
      <c r="AG36" s="606"/>
      <c r="AH36" s="138" t="s">
        <v>24</v>
      </c>
      <c r="AI36" s="29"/>
      <c r="AJ36" s="33"/>
      <c r="AK36" s="588"/>
      <c r="AL36" s="21"/>
    </row>
    <row r="37" spans="1:38" ht="12.75" customHeight="1" hidden="1">
      <c r="A37" s="609"/>
      <c r="B37" s="609"/>
      <c r="C37" s="519"/>
      <c r="D37" s="3" t="s">
        <v>25</v>
      </c>
      <c r="E37" s="6"/>
      <c r="F37" s="15">
        <f>IF(E37=0,0,E37/SUM(E34:E37))</f>
        <v>0</v>
      </c>
      <c r="G37" s="431">
        <f t="shared" si="2"/>
        <v>0</v>
      </c>
      <c r="H37" s="441"/>
      <c r="I37" s="441"/>
      <c r="J37" s="441"/>
      <c r="K37" s="441"/>
      <c r="L37" s="441"/>
      <c r="M37" s="441"/>
      <c r="N37" s="432"/>
      <c r="O37" s="432"/>
      <c r="P37" s="446">
        <f t="shared" si="8"/>
        <v>0</v>
      </c>
      <c r="Q37" s="446">
        <f t="shared" si="8"/>
        <v>0</v>
      </c>
      <c r="R37" s="446">
        <f t="shared" si="8"/>
        <v>0</v>
      </c>
      <c r="S37" s="432">
        <f>(H37+I37)/1000*$AF$3</f>
        <v>0</v>
      </c>
      <c r="T37" s="432">
        <f>(J37+K37)/1000*$AF$3</f>
        <v>0</v>
      </c>
      <c r="U37" s="432"/>
      <c r="V37" s="433"/>
      <c r="W37" s="433"/>
      <c r="X37" s="433"/>
      <c r="Y37" s="433"/>
      <c r="Z37" s="433"/>
      <c r="AA37" s="433">
        <f t="shared" si="10"/>
        <v>1.270130954959039E-06</v>
      </c>
      <c r="AB37" s="433">
        <f>1/10^(7.4287-4.79*LOG(T37+2)+(LOG((4.2-$AF$5)/(4.2-1.5)))*(1/(0.4+0.008633*(T37+2)^3.23/($AF$4+1)^5.19)-1/(0.4+1094/($AF$4+1)^5.19)))</f>
        <v>1.270130954959039E-06</v>
      </c>
      <c r="AC37" s="433"/>
      <c r="AD37" s="430" t="s">
        <v>25</v>
      </c>
      <c r="AE37" s="434">
        <f t="shared" si="3"/>
        <v>0</v>
      </c>
      <c r="AF37" s="433">
        <f t="shared" si="4"/>
        <v>2.540261909918078E-06</v>
      </c>
      <c r="AG37" s="607"/>
      <c r="AH37" s="139" t="s">
        <v>25</v>
      </c>
      <c r="AI37" s="35"/>
      <c r="AJ37" s="39"/>
      <c r="AK37" s="589"/>
      <c r="AL37" s="21"/>
    </row>
    <row r="38" spans="1:38" ht="12.75" customHeight="1" hidden="1">
      <c r="A38" s="520">
        <v>12</v>
      </c>
      <c r="B38" s="520" t="s">
        <v>31</v>
      </c>
      <c r="C38" s="520"/>
      <c r="D38" s="22" t="s">
        <v>22</v>
      </c>
      <c r="E38" s="23"/>
      <c r="F38" s="24">
        <f>IF(E38=0,0,E38/SUM(E38:E41))</f>
        <v>0</v>
      </c>
      <c r="G38" s="412">
        <f t="shared" si="2"/>
        <v>0</v>
      </c>
      <c r="H38" s="441"/>
      <c r="I38" s="441"/>
      <c r="J38" s="441"/>
      <c r="K38" s="441"/>
      <c r="L38" s="441"/>
      <c r="M38" s="441"/>
      <c r="N38" s="414">
        <f aca="true" t="shared" si="11" ref="N38:O42">H38/1000*$AF$3</f>
        <v>0</v>
      </c>
      <c r="O38" s="414">
        <f t="shared" si="11"/>
        <v>0</v>
      </c>
      <c r="P38" s="446">
        <f t="shared" si="8"/>
        <v>0</v>
      </c>
      <c r="Q38" s="446">
        <f t="shared" si="8"/>
        <v>0</v>
      </c>
      <c r="R38" s="446">
        <f t="shared" si="8"/>
        <v>0</v>
      </c>
      <c r="S38" s="414"/>
      <c r="T38" s="414"/>
      <c r="U38" s="414"/>
      <c r="V38" s="415">
        <f aca="true" t="shared" si="12" ref="V38:X41">1/10^(6.1252-4.79*LOG(N38+1)+(LOG((4.2-$AF$5)/(4.2-1.5)))*(1/(0.4+0.081*(N38+1)^3.23/($AF$4+1)^5.19)-1/(0.4+1094/($AF$4+1)^5.19)))</f>
        <v>9.234530528827255E-07</v>
      </c>
      <c r="W38" s="415">
        <f t="shared" si="12"/>
        <v>9.234530528827255E-07</v>
      </c>
      <c r="X38" s="415">
        <f t="shared" si="12"/>
        <v>9.234530528827255E-07</v>
      </c>
      <c r="Y38" s="415"/>
      <c r="Z38" s="415"/>
      <c r="AA38" s="415"/>
      <c r="AB38" s="415"/>
      <c r="AC38" s="415"/>
      <c r="AD38" s="411" t="s">
        <v>22</v>
      </c>
      <c r="AE38" s="416">
        <f t="shared" si="3"/>
        <v>0</v>
      </c>
      <c r="AF38" s="415">
        <f t="shared" si="4"/>
        <v>2.7703591586481768E-06</v>
      </c>
      <c r="AG38" s="593">
        <f>SUMPRODUCT(AE38:AE41,AF38:AF41)</f>
        <v>0</v>
      </c>
      <c r="AH38" s="137" t="s">
        <v>22</v>
      </c>
      <c r="AI38" s="23"/>
      <c r="AJ38" s="27"/>
      <c r="AK38" s="587"/>
      <c r="AL38" s="21"/>
    </row>
    <row r="39" spans="1:38" ht="12.75" customHeight="1" hidden="1">
      <c r="A39" s="608"/>
      <c r="B39" s="608"/>
      <c r="C39" s="521"/>
      <c r="D39" s="28" t="s">
        <v>23</v>
      </c>
      <c r="E39" s="29"/>
      <c r="F39" s="30">
        <f>IF(E39=0,0,E39/SUM(E38:E41))</f>
        <v>0</v>
      </c>
      <c r="G39" s="412">
        <f t="shared" si="2"/>
        <v>0</v>
      </c>
      <c r="H39" s="441"/>
      <c r="I39" s="441"/>
      <c r="J39" s="441"/>
      <c r="K39" s="441"/>
      <c r="L39" s="441"/>
      <c r="M39" s="441"/>
      <c r="N39" s="414">
        <f t="shared" si="11"/>
        <v>0</v>
      </c>
      <c r="O39" s="414">
        <f t="shared" si="11"/>
        <v>0</v>
      </c>
      <c r="P39" s="446">
        <f t="shared" si="8"/>
        <v>0</v>
      </c>
      <c r="Q39" s="446">
        <f t="shared" si="8"/>
        <v>0</v>
      </c>
      <c r="R39" s="446">
        <f t="shared" si="8"/>
        <v>0</v>
      </c>
      <c r="S39" s="414"/>
      <c r="T39" s="414"/>
      <c r="U39" s="414"/>
      <c r="V39" s="415">
        <f t="shared" si="12"/>
        <v>9.234530528827255E-07</v>
      </c>
      <c r="W39" s="415">
        <f t="shared" si="12"/>
        <v>9.234530528827255E-07</v>
      </c>
      <c r="X39" s="415">
        <f t="shared" si="12"/>
        <v>9.234530528827255E-07</v>
      </c>
      <c r="Y39" s="415"/>
      <c r="Z39" s="415"/>
      <c r="AA39" s="415"/>
      <c r="AB39" s="415"/>
      <c r="AC39" s="415"/>
      <c r="AD39" s="411" t="s">
        <v>23</v>
      </c>
      <c r="AE39" s="416">
        <f t="shared" si="3"/>
        <v>0</v>
      </c>
      <c r="AF39" s="415">
        <f t="shared" si="4"/>
        <v>2.7703591586481768E-06</v>
      </c>
      <c r="AG39" s="594"/>
      <c r="AH39" s="138" t="s">
        <v>23</v>
      </c>
      <c r="AI39" s="29"/>
      <c r="AJ39" s="33"/>
      <c r="AK39" s="588"/>
      <c r="AL39" s="21"/>
    </row>
    <row r="40" spans="1:38" ht="12.75" customHeight="1" hidden="1">
      <c r="A40" s="608"/>
      <c r="B40" s="608"/>
      <c r="C40" s="521"/>
      <c r="D40" s="28" t="s">
        <v>24</v>
      </c>
      <c r="E40" s="29"/>
      <c r="F40" s="30">
        <f>IF(E40=0,0,E40/SUM(E38:E41))</f>
        <v>0</v>
      </c>
      <c r="G40" s="412">
        <f t="shared" si="2"/>
        <v>0</v>
      </c>
      <c r="H40" s="441"/>
      <c r="I40" s="441"/>
      <c r="J40" s="441"/>
      <c r="K40" s="441"/>
      <c r="L40" s="441"/>
      <c r="M40" s="441"/>
      <c r="N40" s="414">
        <f t="shared" si="11"/>
        <v>0</v>
      </c>
      <c r="O40" s="414">
        <f t="shared" si="11"/>
        <v>0</v>
      </c>
      <c r="P40" s="446">
        <f t="shared" si="8"/>
        <v>0</v>
      </c>
      <c r="Q40" s="446">
        <f t="shared" si="8"/>
        <v>0</v>
      </c>
      <c r="R40" s="446">
        <f t="shared" si="8"/>
        <v>0</v>
      </c>
      <c r="S40" s="414"/>
      <c r="T40" s="414"/>
      <c r="U40" s="414"/>
      <c r="V40" s="415">
        <f t="shared" si="12"/>
        <v>9.234530528827255E-07</v>
      </c>
      <c r="W40" s="415">
        <f t="shared" si="12"/>
        <v>9.234530528827255E-07</v>
      </c>
      <c r="X40" s="415">
        <f t="shared" si="12"/>
        <v>9.234530528827255E-07</v>
      </c>
      <c r="Y40" s="415"/>
      <c r="Z40" s="415"/>
      <c r="AA40" s="415"/>
      <c r="AB40" s="415"/>
      <c r="AC40" s="415"/>
      <c r="AD40" s="411" t="s">
        <v>24</v>
      </c>
      <c r="AE40" s="416">
        <f t="shared" si="3"/>
        <v>0</v>
      </c>
      <c r="AF40" s="415">
        <f t="shared" si="4"/>
        <v>2.7703591586481768E-06</v>
      </c>
      <c r="AG40" s="594"/>
      <c r="AH40" s="138" t="s">
        <v>24</v>
      </c>
      <c r="AI40" s="29"/>
      <c r="AJ40" s="33"/>
      <c r="AK40" s="588"/>
      <c r="AL40" s="21"/>
    </row>
    <row r="41" spans="1:38" ht="12.75" customHeight="1" hidden="1">
      <c r="A41" s="609"/>
      <c r="B41" s="609"/>
      <c r="C41" s="522"/>
      <c r="D41" s="34" t="s">
        <v>25</v>
      </c>
      <c r="E41" s="35"/>
      <c r="F41" s="36">
        <f>IF(E41=0,0,E41/SUM(E38:E41))</f>
        <v>0</v>
      </c>
      <c r="G41" s="412">
        <f t="shared" si="2"/>
        <v>0</v>
      </c>
      <c r="H41" s="441"/>
      <c r="I41" s="441"/>
      <c r="J41" s="441"/>
      <c r="K41" s="441"/>
      <c r="L41" s="441"/>
      <c r="M41" s="441"/>
      <c r="N41" s="414">
        <f t="shared" si="11"/>
        <v>0</v>
      </c>
      <c r="O41" s="414">
        <f t="shared" si="11"/>
        <v>0</v>
      </c>
      <c r="P41" s="446">
        <f t="shared" si="8"/>
        <v>0</v>
      </c>
      <c r="Q41" s="446">
        <f t="shared" si="8"/>
        <v>0</v>
      </c>
      <c r="R41" s="446">
        <f t="shared" si="8"/>
        <v>0</v>
      </c>
      <c r="S41" s="414"/>
      <c r="T41" s="414"/>
      <c r="U41" s="414"/>
      <c r="V41" s="415">
        <f t="shared" si="12"/>
        <v>9.234530528827255E-07</v>
      </c>
      <c r="W41" s="415">
        <f t="shared" si="12"/>
        <v>9.234530528827255E-07</v>
      </c>
      <c r="X41" s="415">
        <f t="shared" si="12"/>
        <v>9.234530528827255E-07</v>
      </c>
      <c r="Y41" s="415"/>
      <c r="Z41" s="415"/>
      <c r="AA41" s="415"/>
      <c r="AB41" s="415"/>
      <c r="AC41" s="415"/>
      <c r="AD41" s="411" t="s">
        <v>25</v>
      </c>
      <c r="AE41" s="416">
        <f t="shared" si="3"/>
        <v>0</v>
      </c>
      <c r="AF41" s="415">
        <f t="shared" si="4"/>
        <v>2.7703591586481768E-06</v>
      </c>
      <c r="AG41" s="595"/>
      <c r="AH41" s="139" t="s">
        <v>25</v>
      </c>
      <c r="AI41" s="35"/>
      <c r="AJ41" s="39"/>
      <c r="AK41" s="589"/>
      <c r="AL41" s="21"/>
    </row>
    <row r="42" spans="1:38" ht="12.75">
      <c r="A42" s="462"/>
      <c r="B42" s="462"/>
      <c r="C42" s="462"/>
      <c r="D42" s="442" t="s">
        <v>22</v>
      </c>
      <c r="E42" s="443">
        <v>0</v>
      </c>
      <c r="F42" s="444">
        <f>IF(E42=0,0,E42/SUM(E42:E45))</f>
        <v>0</v>
      </c>
      <c r="G42" s="445">
        <f t="shared" si="2"/>
        <v>0</v>
      </c>
      <c r="H42" s="445"/>
      <c r="I42" s="445"/>
      <c r="J42" s="445"/>
      <c r="K42" s="445"/>
      <c r="L42" s="445"/>
      <c r="M42" s="445"/>
      <c r="N42" s="414">
        <f t="shared" si="11"/>
        <v>0</v>
      </c>
      <c r="O42" s="446">
        <f t="shared" si="11"/>
        <v>0</v>
      </c>
      <c r="P42" s="446">
        <f>J42/1000*$AF$3</f>
        <v>0</v>
      </c>
      <c r="Q42" s="446">
        <f>K42/1000*$AF$3</f>
        <v>0</v>
      </c>
      <c r="R42" s="446">
        <f>L42/1000*$AF$3</f>
        <v>0</v>
      </c>
      <c r="S42" s="446"/>
      <c r="T42" s="446"/>
      <c r="U42" s="446"/>
      <c r="V42" s="447"/>
      <c r="W42" s="447"/>
      <c r="X42" s="447"/>
      <c r="Y42" s="447"/>
      <c r="Z42" s="447"/>
      <c r="AA42" s="447"/>
      <c r="AB42" s="447"/>
      <c r="AC42" s="447"/>
      <c r="AD42" s="448" t="s">
        <v>22</v>
      </c>
      <c r="AE42" s="449">
        <f aca="true" t="shared" si="13" ref="AE42:AE49">F42</f>
        <v>0</v>
      </c>
      <c r="AF42" s="447">
        <f t="shared" si="4"/>
        <v>0</v>
      </c>
      <c r="AG42" s="590">
        <f>SUMPRODUCT(AE42:AE45,AF42:AF45)</f>
        <v>0</v>
      </c>
      <c r="AH42" s="450" t="s">
        <v>22</v>
      </c>
      <c r="AI42" s="443"/>
      <c r="AJ42" s="451"/>
      <c r="AK42" s="596"/>
      <c r="AL42" s="21"/>
    </row>
    <row r="43" spans="1:38" ht="12.75">
      <c r="A43" s="462"/>
      <c r="B43" s="462"/>
      <c r="C43" s="462"/>
      <c r="D43" s="452" t="s">
        <v>23</v>
      </c>
      <c r="E43" s="453">
        <v>4</v>
      </c>
      <c r="F43" s="454">
        <f>IF(E43=0,0,E43/SUM(E42:E45))</f>
        <v>1</v>
      </c>
      <c r="G43" s="445">
        <f t="shared" si="2"/>
        <v>16575</v>
      </c>
      <c r="H43" s="445">
        <v>2725</v>
      </c>
      <c r="I43" s="445">
        <v>3850</v>
      </c>
      <c r="J43" s="445">
        <v>5950</v>
      </c>
      <c r="K43" s="445">
        <v>4050</v>
      </c>
      <c r="L43" s="445"/>
      <c r="M43" s="445"/>
      <c r="N43" s="414"/>
      <c r="O43" s="446"/>
      <c r="P43" s="446"/>
      <c r="Q43" s="446"/>
      <c r="R43" s="446">
        <f aca="true" t="shared" si="14" ref="R43:R53">L43/1000*$AF$3</f>
        <v>0</v>
      </c>
      <c r="S43" s="414">
        <f>(I43+H43)/1000*$AF$3</f>
        <v>14.497875</v>
      </c>
      <c r="T43" s="414">
        <f>(K43+J43)/1000*$AF$3</f>
        <v>22.05</v>
      </c>
      <c r="U43" s="446"/>
      <c r="V43" s="447"/>
      <c r="W43" s="447"/>
      <c r="X43" s="447"/>
      <c r="Y43" s="447"/>
      <c r="Z43" s="447"/>
      <c r="AA43" s="447"/>
      <c r="AB43" s="447"/>
      <c r="AC43" s="447"/>
      <c r="AD43" s="448" t="s">
        <v>23</v>
      </c>
      <c r="AE43" s="449">
        <f t="shared" si="13"/>
        <v>1</v>
      </c>
      <c r="AF43" s="447">
        <f t="shared" si="4"/>
        <v>0</v>
      </c>
      <c r="AG43" s="591"/>
      <c r="AH43" s="455" t="s">
        <v>23</v>
      </c>
      <c r="AI43" s="453"/>
      <c r="AJ43" s="456"/>
      <c r="AK43" s="597"/>
      <c r="AL43" s="21"/>
    </row>
    <row r="44" spans="1:38" ht="12.75">
      <c r="A44" s="462">
        <v>11</v>
      </c>
      <c r="B44" s="463" t="s">
        <v>30</v>
      </c>
      <c r="C44" s="462"/>
      <c r="D44" s="452" t="s">
        <v>24</v>
      </c>
      <c r="E44" s="453">
        <v>0</v>
      </c>
      <c r="F44" s="454">
        <f>IF(E44=0,0,E44/SUM(E42:E45))</f>
        <v>0</v>
      </c>
      <c r="G44" s="445">
        <f t="shared" si="2"/>
        <v>0</v>
      </c>
      <c r="H44" s="445"/>
      <c r="I44" s="445"/>
      <c r="J44" s="445"/>
      <c r="K44" s="445"/>
      <c r="L44" s="445"/>
      <c r="M44" s="445"/>
      <c r="N44" s="414">
        <f aca="true" t="shared" si="15" ref="N44:Q45">H44/1000*$AF$3</f>
        <v>0</v>
      </c>
      <c r="O44" s="446">
        <f t="shared" si="15"/>
        <v>0</v>
      </c>
      <c r="P44" s="446">
        <f t="shared" si="15"/>
        <v>0</v>
      </c>
      <c r="Q44" s="446">
        <f t="shared" si="15"/>
        <v>0</v>
      </c>
      <c r="R44" s="446">
        <f t="shared" si="14"/>
        <v>0</v>
      </c>
      <c r="S44" s="446"/>
      <c r="T44" s="446"/>
      <c r="U44" s="446"/>
      <c r="V44" s="447"/>
      <c r="W44" s="447"/>
      <c r="X44" s="447"/>
      <c r="Y44" s="447"/>
      <c r="Z44" s="447"/>
      <c r="AA44" s="447"/>
      <c r="AB44" s="447"/>
      <c r="AC44" s="447"/>
      <c r="AD44" s="448" t="s">
        <v>24</v>
      </c>
      <c r="AE44" s="449">
        <f t="shared" si="13"/>
        <v>0</v>
      </c>
      <c r="AF44" s="447">
        <f t="shared" si="4"/>
        <v>0</v>
      </c>
      <c r="AG44" s="591"/>
      <c r="AH44" s="455" t="s">
        <v>24</v>
      </c>
      <c r="AI44" s="453"/>
      <c r="AJ44" s="456"/>
      <c r="AK44" s="597"/>
      <c r="AL44" s="21"/>
    </row>
    <row r="45" spans="1:38" ht="12.75">
      <c r="A45" s="462"/>
      <c r="B45" s="462"/>
      <c r="C45" s="462"/>
      <c r="D45" s="457" t="s">
        <v>25</v>
      </c>
      <c r="E45" s="458">
        <v>0</v>
      </c>
      <c r="F45" s="459">
        <f>IF(E45=0,0,E45/SUM(E42:E45))</f>
        <v>0</v>
      </c>
      <c r="G45" s="445">
        <f t="shared" si="2"/>
        <v>0</v>
      </c>
      <c r="H45" s="445"/>
      <c r="I45" s="445"/>
      <c r="J45" s="445"/>
      <c r="K45" s="445"/>
      <c r="L45" s="445"/>
      <c r="M45" s="445"/>
      <c r="N45" s="414">
        <f t="shared" si="15"/>
        <v>0</v>
      </c>
      <c r="O45" s="446">
        <f t="shared" si="15"/>
        <v>0</v>
      </c>
      <c r="P45" s="446">
        <f t="shared" si="15"/>
        <v>0</v>
      </c>
      <c r="Q45" s="446">
        <f t="shared" si="15"/>
        <v>0</v>
      </c>
      <c r="R45" s="446">
        <f t="shared" si="14"/>
        <v>0</v>
      </c>
      <c r="S45" s="446"/>
      <c r="T45" s="446"/>
      <c r="U45" s="446"/>
      <c r="V45" s="447"/>
      <c r="W45" s="447"/>
      <c r="X45" s="447"/>
      <c r="Y45" s="447"/>
      <c r="Z45" s="447"/>
      <c r="AA45" s="447"/>
      <c r="AB45" s="447"/>
      <c r="AC45" s="447"/>
      <c r="AD45" s="448" t="s">
        <v>25</v>
      </c>
      <c r="AE45" s="449">
        <f t="shared" si="13"/>
        <v>0</v>
      </c>
      <c r="AF45" s="447">
        <f t="shared" si="4"/>
        <v>0</v>
      </c>
      <c r="AG45" s="592"/>
      <c r="AH45" s="460" t="s">
        <v>25</v>
      </c>
      <c r="AI45" s="458"/>
      <c r="AJ45" s="461"/>
      <c r="AK45" s="598"/>
      <c r="AL45" s="21"/>
    </row>
    <row r="46" spans="1:38" ht="12.75">
      <c r="A46" s="408"/>
      <c r="B46" s="408"/>
      <c r="C46" s="408"/>
      <c r="D46" s="22" t="s">
        <v>22</v>
      </c>
      <c r="E46" s="23">
        <v>39</v>
      </c>
      <c r="F46" s="24">
        <f>IF(E46=0,0,E46/SUM(E46:E49))</f>
        <v>0.09006928406466513</v>
      </c>
      <c r="G46" s="412">
        <f t="shared" si="2"/>
        <v>9900</v>
      </c>
      <c r="H46" s="441">
        <v>3118</v>
      </c>
      <c r="I46" s="441">
        <v>4046</v>
      </c>
      <c r="J46" s="441">
        <v>2736</v>
      </c>
      <c r="K46" s="441"/>
      <c r="L46" s="441"/>
      <c r="M46" s="441"/>
      <c r="N46" s="446">
        <f aca="true" t="shared" si="16" ref="N46:O49">H46/1000*$AF$3</f>
        <v>6.87519</v>
      </c>
      <c r="O46" s="446">
        <f t="shared" si="16"/>
        <v>8.92143</v>
      </c>
      <c r="P46" s="446">
        <f aca="true" t="shared" si="17" ref="P46:R61">J46/1000*$AF$3</f>
        <v>6.0328800000000005</v>
      </c>
      <c r="Q46" s="446">
        <f>K46/1000*$AF$3</f>
        <v>0</v>
      </c>
      <c r="R46" s="446">
        <f t="shared" si="14"/>
        <v>0</v>
      </c>
      <c r="S46" s="414"/>
      <c r="T46" s="414"/>
      <c r="U46" s="414"/>
      <c r="V46" s="415"/>
      <c r="W46" s="415"/>
      <c r="X46" s="415"/>
      <c r="Y46" s="415"/>
      <c r="Z46" s="415"/>
      <c r="AA46" s="415"/>
      <c r="AB46" s="415"/>
      <c r="AC46" s="415"/>
      <c r="AD46" s="411" t="s">
        <v>22</v>
      </c>
      <c r="AE46" s="416">
        <f t="shared" si="13"/>
        <v>0.09006928406466513</v>
      </c>
      <c r="AF46" s="415">
        <f t="shared" si="4"/>
        <v>0</v>
      </c>
      <c r="AG46" s="593">
        <f>SUMPRODUCT(AE46:AE49,AF46:AF49)</f>
        <v>0</v>
      </c>
      <c r="AH46" s="137" t="s">
        <v>22</v>
      </c>
      <c r="AI46" s="23"/>
      <c r="AJ46" s="27"/>
      <c r="AK46" s="587"/>
      <c r="AL46" s="21"/>
    </row>
    <row r="47" spans="1:38" ht="12.75">
      <c r="A47" s="404">
        <v>12</v>
      </c>
      <c r="B47" s="428" t="s">
        <v>31</v>
      </c>
      <c r="C47" s="404"/>
      <c r="D47" s="28" t="s">
        <v>23</v>
      </c>
      <c r="E47" s="29">
        <v>359</v>
      </c>
      <c r="F47" s="30">
        <f>IF(E47=0,0,E47/SUM(E46:E49))</f>
        <v>0.8290993071593533</v>
      </c>
      <c r="G47" s="412">
        <f t="shared" si="2"/>
        <v>12055</v>
      </c>
      <c r="H47" s="441">
        <v>1080</v>
      </c>
      <c r="I47" s="441">
        <v>5999</v>
      </c>
      <c r="J47" s="441">
        <v>4976</v>
      </c>
      <c r="K47" s="441"/>
      <c r="L47" s="441"/>
      <c r="M47" s="441"/>
      <c r="N47" s="446">
        <f t="shared" si="16"/>
        <v>2.3814</v>
      </c>
      <c r="O47" s="446">
        <f t="shared" si="16"/>
        <v>13.227795</v>
      </c>
      <c r="P47" s="446">
        <f t="shared" si="17"/>
        <v>10.97208</v>
      </c>
      <c r="Q47" s="446">
        <f>K47/1000*$AF$3</f>
        <v>0</v>
      </c>
      <c r="R47" s="446">
        <f t="shared" si="14"/>
        <v>0</v>
      </c>
      <c r="S47" s="414"/>
      <c r="T47" s="414"/>
      <c r="U47" s="414"/>
      <c r="V47" s="415"/>
      <c r="W47" s="415"/>
      <c r="X47" s="415"/>
      <c r="Y47" s="415"/>
      <c r="Z47" s="415"/>
      <c r="AA47" s="415"/>
      <c r="AB47" s="415"/>
      <c r="AC47" s="415"/>
      <c r="AD47" s="411" t="s">
        <v>23</v>
      </c>
      <c r="AE47" s="416">
        <f t="shared" si="13"/>
        <v>0.8290993071593533</v>
      </c>
      <c r="AF47" s="415">
        <f t="shared" si="4"/>
        <v>0</v>
      </c>
      <c r="AG47" s="594"/>
      <c r="AH47" s="138" t="s">
        <v>23</v>
      </c>
      <c r="AI47" s="29"/>
      <c r="AJ47" s="33"/>
      <c r="AK47" s="588"/>
      <c r="AL47" s="21"/>
    </row>
    <row r="48" spans="1:38" ht="12.75">
      <c r="A48" s="404"/>
      <c r="B48" s="404"/>
      <c r="C48" s="404"/>
      <c r="D48" s="28" t="s">
        <v>24</v>
      </c>
      <c r="E48" s="29">
        <v>32</v>
      </c>
      <c r="F48" s="30">
        <f>IF(E48=0,0,E48/SUM(E46:E49))</f>
        <v>0.07390300230946882</v>
      </c>
      <c r="G48" s="412">
        <f t="shared" si="2"/>
        <v>23860</v>
      </c>
      <c r="H48" s="441">
        <v>4338</v>
      </c>
      <c r="I48" s="441">
        <v>9756</v>
      </c>
      <c r="J48" s="441">
        <v>9766</v>
      </c>
      <c r="K48" s="441"/>
      <c r="L48" s="441"/>
      <c r="M48" s="441"/>
      <c r="N48" s="446">
        <f t="shared" si="16"/>
        <v>9.565290000000001</v>
      </c>
      <c r="O48" s="446">
        <f t="shared" si="16"/>
        <v>21.51198</v>
      </c>
      <c r="P48" s="446">
        <f t="shared" si="17"/>
        <v>21.53403</v>
      </c>
      <c r="Q48" s="446">
        <f>K48/1000*$AF$3</f>
        <v>0</v>
      </c>
      <c r="R48" s="446">
        <f t="shared" si="14"/>
        <v>0</v>
      </c>
      <c r="S48" s="414"/>
      <c r="T48" s="414"/>
      <c r="U48" s="414"/>
      <c r="V48" s="415"/>
      <c r="W48" s="415"/>
      <c r="X48" s="415"/>
      <c r="Y48" s="415"/>
      <c r="Z48" s="415"/>
      <c r="AA48" s="415"/>
      <c r="AB48" s="415"/>
      <c r="AC48" s="415"/>
      <c r="AD48" s="411" t="s">
        <v>24</v>
      </c>
      <c r="AE48" s="416">
        <f t="shared" si="13"/>
        <v>0.07390300230946882</v>
      </c>
      <c r="AF48" s="415">
        <f t="shared" si="4"/>
        <v>0</v>
      </c>
      <c r="AG48" s="594"/>
      <c r="AH48" s="138" t="s">
        <v>24</v>
      </c>
      <c r="AI48" s="29"/>
      <c r="AJ48" s="33"/>
      <c r="AK48" s="588"/>
      <c r="AL48" s="21"/>
    </row>
    <row r="49" spans="1:38" ht="12.75">
      <c r="A49" s="409"/>
      <c r="B49" s="409"/>
      <c r="C49" s="409"/>
      <c r="D49" s="34" t="s">
        <v>25</v>
      </c>
      <c r="E49" s="35">
        <v>3</v>
      </c>
      <c r="F49" s="36">
        <f>IF(E49=0,0,E49/SUM(E46:E49))</f>
        <v>0.006928406466512702</v>
      </c>
      <c r="G49" s="412">
        <f t="shared" si="2"/>
        <v>27533</v>
      </c>
      <c r="H49" s="441">
        <v>4300</v>
      </c>
      <c r="I49" s="441">
        <v>10900</v>
      </c>
      <c r="J49" s="441">
        <v>12333</v>
      </c>
      <c r="K49" s="441"/>
      <c r="L49" s="441"/>
      <c r="M49" s="441"/>
      <c r="N49" s="446">
        <f t="shared" si="16"/>
        <v>9.4815</v>
      </c>
      <c r="O49" s="446">
        <f t="shared" si="16"/>
        <v>24.0345</v>
      </c>
      <c r="P49" s="446">
        <f t="shared" si="17"/>
        <v>27.194265</v>
      </c>
      <c r="Q49" s="446">
        <f>K49/1000*$AF$3</f>
        <v>0</v>
      </c>
      <c r="R49" s="446">
        <f t="shared" si="14"/>
        <v>0</v>
      </c>
      <c r="S49" s="414"/>
      <c r="T49" s="414"/>
      <c r="U49" s="414"/>
      <c r="V49" s="415"/>
      <c r="W49" s="415"/>
      <c r="X49" s="415"/>
      <c r="Y49" s="415"/>
      <c r="Z49" s="415"/>
      <c r="AA49" s="415"/>
      <c r="AB49" s="415"/>
      <c r="AC49" s="415"/>
      <c r="AD49" s="411" t="s">
        <v>25</v>
      </c>
      <c r="AE49" s="416">
        <f t="shared" si="13"/>
        <v>0.006928406466512702</v>
      </c>
      <c r="AF49" s="415">
        <f>SUM(V49:AC49)</f>
        <v>0</v>
      </c>
      <c r="AG49" s="595"/>
      <c r="AH49" s="139" t="s">
        <v>25</v>
      </c>
      <c r="AI49" s="35"/>
      <c r="AJ49" s="39"/>
      <c r="AK49" s="589"/>
      <c r="AL49" s="21"/>
    </row>
    <row r="50" spans="1:38" ht="12.75">
      <c r="A50" s="611">
        <v>13</v>
      </c>
      <c r="B50" s="611" t="s">
        <v>32</v>
      </c>
      <c r="C50" s="611"/>
      <c r="D50" s="442" t="s">
        <v>22</v>
      </c>
      <c r="E50" s="443">
        <v>140</v>
      </c>
      <c r="F50" s="444">
        <f>IF(E50=0,0,E50/SUM(E50:E53))</f>
        <v>0.04303719643406086</v>
      </c>
      <c r="G50" s="445">
        <f t="shared" si="2"/>
        <v>12159</v>
      </c>
      <c r="H50" s="445">
        <v>3412</v>
      </c>
      <c r="I50" s="445">
        <v>4125</v>
      </c>
      <c r="J50" s="445">
        <v>2239</v>
      </c>
      <c r="K50" s="445">
        <v>2383</v>
      </c>
      <c r="L50" s="445"/>
      <c r="M50" s="445"/>
      <c r="N50" s="446">
        <f aca="true" t="shared" si="18" ref="N50:O53">H50/1000*$AF$3</f>
        <v>7.52346</v>
      </c>
      <c r="O50" s="446">
        <f t="shared" si="18"/>
        <v>9.095625</v>
      </c>
      <c r="P50" s="446"/>
      <c r="Q50" s="446"/>
      <c r="R50" s="446">
        <f t="shared" si="14"/>
        <v>0</v>
      </c>
      <c r="S50" s="446">
        <f>(J50+K50)/1000*$AF$3</f>
        <v>10.191510000000001</v>
      </c>
      <c r="T50" s="446"/>
      <c r="U50" s="446"/>
      <c r="V50" s="447">
        <f aca="true" t="shared" si="19" ref="V50:V77">1/10^(6.1252-4.79*LOG(N50+1)+(LOG((4.2-$AF$5)/(4.2-1.5)))*(1/(0.4+0.081*(N50+1)^3.23/($AF$4+1)^5.19)-1/(0.4+1094/($AF$4+1)^5.19)))</f>
        <v>0.025996182759705177</v>
      </c>
      <c r="W50" s="447">
        <f aca="true" t="shared" si="20" ref="W50:W77">1/10^(6.1252-4.79*LOG(O50+1)+(LOG((4.2-$AF$5)/(4.2-1.5)))*(1/(0.4+0.081*(O50+1)^3.23/($AF$4+1)^5.19)-1/(0.4+1094/($AF$4+1)^5.19)))</f>
        <v>0.057714074031471316</v>
      </c>
      <c r="X50" s="447"/>
      <c r="Y50" s="447"/>
      <c r="Z50" s="447"/>
      <c r="AA50" s="447">
        <f aca="true" t="shared" si="21" ref="AA50:AA57">1/10^(7.4287-4.79*LOG(S50+2)+(LOG((4.2-$AF$5)/(4.2-1.5)))*(1/(0.4+0.008633*(S50+2)^3.23/($AF$4+1)^5.19)-1/(0.4+1094/($AF$4+1)^5.19)))</f>
        <v>0.007266808804774118</v>
      </c>
      <c r="AB50" s="447"/>
      <c r="AC50" s="447"/>
      <c r="AD50" s="448" t="s">
        <v>22</v>
      </c>
      <c r="AE50" s="449">
        <f t="shared" si="3"/>
        <v>0.04303719643406086</v>
      </c>
      <c r="AF50" s="447">
        <f t="shared" si="4"/>
        <v>0.09097706559595062</v>
      </c>
      <c r="AG50" s="590">
        <f>SUMPRODUCT(AE50:AE53,AF50:AF53)</f>
        <v>2.370785424646619</v>
      </c>
      <c r="AH50" s="450" t="s">
        <v>22</v>
      </c>
      <c r="AI50" s="443"/>
      <c r="AJ50" s="451"/>
      <c r="AK50" s="596"/>
      <c r="AL50" s="21"/>
    </row>
    <row r="51" spans="1:38" ht="12.75">
      <c r="A51" s="608"/>
      <c r="B51" s="608"/>
      <c r="C51" s="612"/>
      <c r="D51" s="452" t="s">
        <v>23</v>
      </c>
      <c r="E51" s="453">
        <v>1363</v>
      </c>
      <c r="F51" s="454">
        <f>IF(E51=0,0,E51/SUM(E50:E53))</f>
        <v>0.4189978481401783</v>
      </c>
      <c r="G51" s="445">
        <f t="shared" si="2"/>
        <v>19422</v>
      </c>
      <c r="H51" s="445">
        <v>4459</v>
      </c>
      <c r="I51" s="445">
        <v>6485</v>
      </c>
      <c r="J51" s="445">
        <v>4263</v>
      </c>
      <c r="K51" s="445">
        <v>4215</v>
      </c>
      <c r="L51" s="445"/>
      <c r="M51" s="445"/>
      <c r="N51" s="446">
        <f t="shared" si="18"/>
        <v>9.832094999999999</v>
      </c>
      <c r="O51" s="446">
        <f t="shared" si="18"/>
        <v>14.299425000000001</v>
      </c>
      <c r="P51" s="446"/>
      <c r="Q51" s="446"/>
      <c r="R51" s="446">
        <f t="shared" si="14"/>
        <v>0</v>
      </c>
      <c r="S51" s="446">
        <f>(J51+K51)/1000*$AF$3</f>
        <v>18.69399</v>
      </c>
      <c r="T51" s="446"/>
      <c r="U51" s="446"/>
      <c r="V51" s="447">
        <f t="shared" si="19"/>
        <v>0.08022686434153438</v>
      </c>
      <c r="W51" s="447">
        <f t="shared" si="20"/>
        <v>0.3895127219267621</v>
      </c>
      <c r="X51" s="447"/>
      <c r="Y51" s="447"/>
      <c r="Z51" s="447"/>
      <c r="AA51" s="447">
        <f t="shared" si="21"/>
        <v>0.0890757473295975</v>
      </c>
      <c r="AB51" s="447"/>
      <c r="AC51" s="447"/>
      <c r="AD51" s="448" t="s">
        <v>23</v>
      </c>
      <c r="AE51" s="449">
        <f t="shared" si="3"/>
        <v>0.4189978481401783</v>
      </c>
      <c r="AF51" s="447">
        <f t="shared" si="4"/>
        <v>0.558815333597894</v>
      </c>
      <c r="AG51" s="591"/>
      <c r="AH51" s="455" t="s">
        <v>23</v>
      </c>
      <c r="AI51" s="453"/>
      <c r="AJ51" s="456"/>
      <c r="AK51" s="597"/>
      <c r="AL51" s="21"/>
    </row>
    <row r="52" spans="1:38" ht="12.75">
      <c r="A52" s="608"/>
      <c r="B52" s="608"/>
      <c r="C52" s="612"/>
      <c r="D52" s="452" t="s">
        <v>24</v>
      </c>
      <c r="E52" s="453">
        <v>1450</v>
      </c>
      <c r="F52" s="454">
        <f>IF(E52=0,0,E52/SUM(E50:E53))</f>
        <v>0.44574239163848756</v>
      </c>
      <c r="G52" s="445">
        <f t="shared" si="2"/>
        <v>31038</v>
      </c>
      <c r="H52" s="445">
        <v>4979</v>
      </c>
      <c r="I52" s="445">
        <v>9651</v>
      </c>
      <c r="J52" s="445">
        <v>7941</v>
      </c>
      <c r="K52" s="445">
        <v>8467</v>
      </c>
      <c r="L52" s="445"/>
      <c r="M52" s="445"/>
      <c r="N52" s="446">
        <f t="shared" si="18"/>
        <v>10.978695</v>
      </c>
      <c r="O52" s="446">
        <f t="shared" si="18"/>
        <v>21.280455</v>
      </c>
      <c r="P52" s="446"/>
      <c r="Q52" s="446"/>
      <c r="R52" s="446">
        <f t="shared" si="14"/>
        <v>0</v>
      </c>
      <c r="S52" s="446">
        <f>(J52+K52)/1000*$AF$3</f>
        <v>36.179640000000006</v>
      </c>
      <c r="T52" s="446"/>
      <c r="U52" s="446"/>
      <c r="V52" s="447">
        <f t="shared" si="19"/>
        <v>0.12801808417682048</v>
      </c>
      <c r="W52" s="447">
        <f t="shared" si="20"/>
        <v>1.9356910114821169</v>
      </c>
      <c r="X52" s="447"/>
      <c r="Y52" s="447"/>
      <c r="Z52" s="447"/>
      <c r="AA52" s="447">
        <f t="shared" si="21"/>
        <v>1.4033442142886494</v>
      </c>
      <c r="AB52" s="447"/>
      <c r="AC52" s="447"/>
      <c r="AD52" s="448" t="s">
        <v>24</v>
      </c>
      <c r="AE52" s="449">
        <f t="shared" si="3"/>
        <v>0.44574239163848756</v>
      </c>
      <c r="AF52" s="447">
        <f t="shared" si="4"/>
        <v>3.4670533099475866</v>
      </c>
      <c r="AG52" s="591"/>
      <c r="AH52" s="455" t="s">
        <v>24</v>
      </c>
      <c r="AI52" s="453"/>
      <c r="AJ52" s="456"/>
      <c r="AK52" s="597"/>
      <c r="AL52" s="21"/>
    </row>
    <row r="53" spans="1:38" ht="12.75">
      <c r="A53" s="609"/>
      <c r="B53" s="609"/>
      <c r="C53" s="613"/>
      <c r="D53" s="457" t="s">
        <v>25</v>
      </c>
      <c r="E53" s="458">
        <v>300</v>
      </c>
      <c r="F53" s="459">
        <f>IF(E53=0,0,E53/SUM(E50:E53))</f>
        <v>0.09222256378727328</v>
      </c>
      <c r="G53" s="445">
        <f t="shared" si="2"/>
        <v>36321</v>
      </c>
      <c r="H53" s="445">
        <v>5740</v>
      </c>
      <c r="I53" s="445">
        <v>11222</v>
      </c>
      <c r="J53" s="445">
        <v>9529</v>
      </c>
      <c r="K53" s="445">
        <v>9830</v>
      </c>
      <c r="L53" s="445"/>
      <c r="M53" s="445"/>
      <c r="N53" s="446">
        <f t="shared" si="18"/>
        <v>12.6567</v>
      </c>
      <c r="O53" s="446">
        <f t="shared" si="18"/>
        <v>24.74451</v>
      </c>
      <c r="P53" s="446"/>
      <c r="Q53" s="446"/>
      <c r="R53" s="446">
        <f t="shared" si="14"/>
        <v>0</v>
      </c>
      <c r="S53" s="446">
        <f>(J53+K53)/1000*$AF$3</f>
        <v>42.686595000000004</v>
      </c>
      <c r="T53" s="446"/>
      <c r="U53" s="446"/>
      <c r="V53" s="447">
        <f t="shared" si="19"/>
        <v>0.23354156350338753</v>
      </c>
      <c r="W53" s="447">
        <f t="shared" si="20"/>
        <v>3.441965176610561</v>
      </c>
      <c r="X53" s="447"/>
      <c r="Y53" s="447"/>
      <c r="Z53" s="447"/>
      <c r="AA53" s="447">
        <f t="shared" si="21"/>
        <v>2.6929452534663447</v>
      </c>
      <c r="AB53" s="447"/>
      <c r="AC53" s="447"/>
      <c r="AD53" s="448" t="s">
        <v>25</v>
      </c>
      <c r="AE53" s="449">
        <f t="shared" si="3"/>
        <v>0.09222256378727328</v>
      </c>
      <c r="AF53" s="447">
        <f t="shared" si="4"/>
        <v>6.368451993580294</v>
      </c>
      <c r="AG53" s="592"/>
      <c r="AH53" s="460" t="s">
        <v>25</v>
      </c>
      <c r="AI53" s="458"/>
      <c r="AJ53" s="461"/>
      <c r="AK53" s="598"/>
      <c r="AL53" s="21"/>
    </row>
    <row r="54" spans="1:38" ht="12.75" customHeight="1" hidden="1">
      <c r="A54" s="520">
        <v>14</v>
      </c>
      <c r="B54" s="520" t="s">
        <v>33</v>
      </c>
      <c r="C54" s="520"/>
      <c r="D54" s="22" t="s">
        <v>22</v>
      </c>
      <c r="E54" s="23"/>
      <c r="F54" s="24">
        <f>IF(E54=0,0,E54/SUM(E54:E57))</f>
        <v>0</v>
      </c>
      <c r="G54" s="412">
        <f t="shared" si="2"/>
        <v>0</v>
      </c>
      <c r="H54" s="441"/>
      <c r="I54" s="441"/>
      <c r="J54" s="441"/>
      <c r="K54" s="441"/>
      <c r="L54" s="441"/>
      <c r="M54" s="441"/>
      <c r="N54" s="414">
        <f aca="true" t="shared" si="22" ref="N54:N77">H54/1000*$AF$3</f>
        <v>0</v>
      </c>
      <c r="O54" s="414">
        <f>K54/1000*$AF$3</f>
        <v>0</v>
      </c>
      <c r="P54" s="446">
        <f t="shared" si="17"/>
        <v>0</v>
      </c>
      <c r="Q54" s="446">
        <f t="shared" si="17"/>
        <v>0</v>
      </c>
      <c r="R54" s="446">
        <f t="shared" si="17"/>
        <v>0</v>
      </c>
      <c r="S54" s="414">
        <f>(I54+J54)/1000*$AF$3</f>
        <v>0</v>
      </c>
      <c r="T54" s="414"/>
      <c r="U54" s="414"/>
      <c r="V54" s="415">
        <f t="shared" si="19"/>
        <v>9.234530528827255E-07</v>
      </c>
      <c r="W54" s="415">
        <f t="shared" si="20"/>
        <v>9.234530528827255E-07</v>
      </c>
      <c r="X54" s="415"/>
      <c r="Y54" s="415"/>
      <c r="Z54" s="415"/>
      <c r="AA54" s="415">
        <f t="shared" si="21"/>
        <v>1.270130954959039E-06</v>
      </c>
      <c r="AB54" s="415"/>
      <c r="AC54" s="415"/>
      <c r="AD54" s="411" t="s">
        <v>22</v>
      </c>
      <c r="AE54" s="416">
        <f t="shared" si="3"/>
        <v>0</v>
      </c>
      <c r="AF54" s="415">
        <f t="shared" si="4"/>
        <v>3.1170370607244903E-06</v>
      </c>
      <c r="AG54" s="593">
        <f>SUMPRODUCT(AE54:AE57,AF54:AF57)</f>
        <v>0</v>
      </c>
      <c r="AH54" s="137" t="s">
        <v>22</v>
      </c>
      <c r="AI54" s="23"/>
      <c r="AJ54" s="27"/>
      <c r="AK54" s="587"/>
      <c r="AL54" s="21"/>
    </row>
    <row r="55" spans="1:38" ht="12.75" customHeight="1" hidden="1">
      <c r="A55" s="608"/>
      <c r="B55" s="608"/>
      <c r="C55" s="521"/>
      <c r="D55" s="28" t="s">
        <v>23</v>
      </c>
      <c r="E55" s="29"/>
      <c r="F55" s="30">
        <f>IF(E55=0,0,E55/SUM(E54:E57))</f>
        <v>0</v>
      </c>
      <c r="G55" s="412">
        <f t="shared" si="2"/>
        <v>0</v>
      </c>
      <c r="H55" s="441"/>
      <c r="I55" s="441"/>
      <c r="J55" s="441"/>
      <c r="K55" s="441"/>
      <c r="L55" s="441"/>
      <c r="M55" s="441"/>
      <c r="N55" s="414">
        <f t="shared" si="22"/>
        <v>0</v>
      </c>
      <c r="O55" s="414">
        <f>K55/1000*$AF$3</f>
        <v>0</v>
      </c>
      <c r="P55" s="446">
        <f t="shared" si="17"/>
        <v>0</v>
      </c>
      <c r="Q55" s="446">
        <f t="shared" si="17"/>
        <v>0</v>
      </c>
      <c r="R55" s="446">
        <f t="shared" si="17"/>
        <v>0</v>
      </c>
      <c r="S55" s="414">
        <f>(I55+J55)/1000*$AF$3</f>
        <v>0</v>
      </c>
      <c r="T55" s="414"/>
      <c r="U55" s="414"/>
      <c r="V55" s="415">
        <f t="shared" si="19"/>
        <v>9.234530528827255E-07</v>
      </c>
      <c r="W55" s="415">
        <f t="shared" si="20"/>
        <v>9.234530528827255E-07</v>
      </c>
      <c r="X55" s="415"/>
      <c r="Y55" s="415"/>
      <c r="Z55" s="415"/>
      <c r="AA55" s="415">
        <f t="shared" si="21"/>
        <v>1.270130954959039E-06</v>
      </c>
      <c r="AB55" s="415"/>
      <c r="AC55" s="415"/>
      <c r="AD55" s="411" t="s">
        <v>23</v>
      </c>
      <c r="AE55" s="416">
        <f t="shared" si="3"/>
        <v>0</v>
      </c>
      <c r="AF55" s="415">
        <f t="shared" si="4"/>
        <v>3.1170370607244903E-06</v>
      </c>
      <c r="AG55" s="594"/>
      <c r="AH55" s="138" t="s">
        <v>23</v>
      </c>
      <c r="AI55" s="29"/>
      <c r="AJ55" s="33"/>
      <c r="AK55" s="588"/>
      <c r="AL55" s="21"/>
    </row>
    <row r="56" spans="1:38" ht="12.75" customHeight="1" hidden="1">
      <c r="A56" s="608"/>
      <c r="B56" s="608"/>
      <c r="C56" s="521"/>
      <c r="D56" s="28" t="s">
        <v>24</v>
      </c>
      <c r="E56" s="29"/>
      <c r="F56" s="30">
        <f>IF(E56=0,0,E56/SUM(E54:E57))</f>
        <v>0</v>
      </c>
      <c r="G56" s="412">
        <f t="shared" si="2"/>
        <v>0</v>
      </c>
      <c r="H56" s="441"/>
      <c r="I56" s="441"/>
      <c r="J56" s="441"/>
      <c r="K56" s="441"/>
      <c r="L56" s="441"/>
      <c r="M56" s="441"/>
      <c r="N56" s="414">
        <f t="shared" si="22"/>
        <v>0</v>
      </c>
      <c r="O56" s="414">
        <f>K56/1000*$AF$3</f>
        <v>0</v>
      </c>
      <c r="P56" s="446">
        <f t="shared" si="17"/>
        <v>0</v>
      </c>
      <c r="Q56" s="446">
        <f t="shared" si="17"/>
        <v>0</v>
      </c>
      <c r="R56" s="446">
        <f t="shared" si="17"/>
        <v>0</v>
      </c>
      <c r="S56" s="414">
        <f>(I56+J56)/1000*$AF$3</f>
        <v>0</v>
      </c>
      <c r="T56" s="414"/>
      <c r="U56" s="414"/>
      <c r="V56" s="415">
        <f t="shared" si="19"/>
        <v>9.234530528827255E-07</v>
      </c>
      <c r="W56" s="415">
        <f t="shared" si="20"/>
        <v>9.234530528827255E-07</v>
      </c>
      <c r="X56" s="415"/>
      <c r="Y56" s="415"/>
      <c r="Z56" s="415"/>
      <c r="AA56" s="415">
        <f t="shared" si="21"/>
        <v>1.270130954959039E-06</v>
      </c>
      <c r="AB56" s="415"/>
      <c r="AC56" s="415"/>
      <c r="AD56" s="411" t="s">
        <v>24</v>
      </c>
      <c r="AE56" s="416">
        <f t="shared" si="3"/>
        <v>0</v>
      </c>
      <c r="AF56" s="415">
        <f t="shared" si="4"/>
        <v>3.1170370607244903E-06</v>
      </c>
      <c r="AG56" s="594"/>
      <c r="AH56" s="138" t="s">
        <v>24</v>
      </c>
      <c r="AI56" s="29"/>
      <c r="AJ56" s="33"/>
      <c r="AK56" s="588"/>
      <c r="AL56" s="21"/>
    </row>
    <row r="57" spans="1:38" ht="12.75" customHeight="1" hidden="1">
      <c r="A57" s="609"/>
      <c r="B57" s="609"/>
      <c r="C57" s="522"/>
      <c r="D57" s="34" t="s">
        <v>25</v>
      </c>
      <c r="E57" s="35"/>
      <c r="F57" s="36">
        <f>IF(E57=0,0,E57/SUM(E54:E57))</f>
        <v>0</v>
      </c>
      <c r="G57" s="412">
        <f t="shared" si="2"/>
        <v>0</v>
      </c>
      <c r="H57" s="441"/>
      <c r="I57" s="441"/>
      <c r="J57" s="441"/>
      <c r="K57" s="441"/>
      <c r="L57" s="441"/>
      <c r="M57" s="441"/>
      <c r="N57" s="414">
        <f t="shared" si="22"/>
        <v>0</v>
      </c>
      <c r="O57" s="414">
        <f>K57/1000*$AF$3</f>
        <v>0</v>
      </c>
      <c r="P57" s="446">
        <f t="shared" si="17"/>
        <v>0</v>
      </c>
      <c r="Q57" s="446">
        <f t="shared" si="17"/>
        <v>0</v>
      </c>
      <c r="R57" s="446">
        <f t="shared" si="17"/>
        <v>0</v>
      </c>
      <c r="S57" s="414">
        <f>(I57+J57)/1000*$AF$3</f>
        <v>0</v>
      </c>
      <c r="T57" s="414"/>
      <c r="U57" s="414"/>
      <c r="V57" s="415">
        <f t="shared" si="19"/>
        <v>9.234530528827255E-07</v>
      </c>
      <c r="W57" s="415">
        <f t="shared" si="20"/>
        <v>9.234530528827255E-07</v>
      </c>
      <c r="X57" s="415"/>
      <c r="Y57" s="415"/>
      <c r="Z57" s="415"/>
      <c r="AA57" s="415">
        <f t="shared" si="21"/>
        <v>1.270130954959039E-06</v>
      </c>
      <c r="AB57" s="415"/>
      <c r="AC57" s="415"/>
      <c r="AD57" s="411" t="s">
        <v>25</v>
      </c>
      <c r="AE57" s="416">
        <f t="shared" si="3"/>
        <v>0</v>
      </c>
      <c r="AF57" s="415">
        <f t="shared" si="4"/>
        <v>3.1170370607244903E-06</v>
      </c>
      <c r="AG57" s="595"/>
      <c r="AH57" s="139" t="s">
        <v>25</v>
      </c>
      <c r="AI57" s="35"/>
      <c r="AJ57" s="39"/>
      <c r="AK57" s="589"/>
      <c r="AL57" s="21"/>
    </row>
    <row r="58" spans="1:38" ht="12.75" customHeight="1" hidden="1">
      <c r="A58" s="517">
        <v>15</v>
      </c>
      <c r="B58" s="517" t="s">
        <v>34</v>
      </c>
      <c r="C58" s="517"/>
      <c r="D58" s="1" t="s">
        <v>22</v>
      </c>
      <c r="E58" s="4"/>
      <c r="F58" s="13">
        <f>IF(E58=0,0,E58/SUM(E58:E61))</f>
        <v>0</v>
      </c>
      <c r="G58" s="431">
        <f t="shared" si="2"/>
        <v>0</v>
      </c>
      <c r="H58" s="441"/>
      <c r="I58" s="441"/>
      <c r="J58" s="441"/>
      <c r="K58" s="441"/>
      <c r="L58" s="441"/>
      <c r="M58" s="441"/>
      <c r="N58" s="432">
        <f t="shared" si="22"/>
        <v>0</v>
      </c>
      <c r="O58" s="432">
        <f>I58/1000*$AF$3</f>
        <v>0</v>
      </c>
      <c r="P58" s="446">
        <f t="shared" si="17"/>
        <v>0</v>
      </c>
      <c r="Q58" s="446">
        <f t="shared" si="17"/>
        <v>0</v>
      </c>
      <c r="R58" s="446">
        <f t="shared" si="17"/>
        <v>0</v>
      </c>
      <c r="S58" s="432"/>
      <c r="T58" s="432"/>
      <c r="U58" s="432"/>
      <c r="V58" s="433">
        <f t="shared" si="19"/>
        <v>9.234530528827255E-07</v>
      </c>
      <c r="W58" s="433">
        <f t="shared" si="20"/>
        <v>9.234530528827255E-07</v>
      </c>
      <c r="X58" s="433">
        <f aca="true" t="shared" si="23" ref="X58:Y101">1/10^(6.1252-4.79*LOG(P58+1)+(LOG((4.2-$AF$5)/(4.2-1.5)))*(1/(0.4+0.081*(P58+1)^3.23/($AF$4+1)^5.19)-1/(0.4+1094/($AF$4+1)^5.19)))</f>
        <v>9.234530528827255E-07</v>
      </c>
      <c r="Y58" s="433">
        <f t="shared" si="23"/>
        <v>9.234530528827255E-07</v>
      </c>
      <c r="Z58" s="433"/>
      <c r="AA58" s="433"/>
      <c r="AB58" s="433"/>
      <c r="AC58" s="433"/>
      <c r="AD58" s="430" t="s">
        <v>22</v>
      </c>
      <c r="AE58" s="434">
        <f t="shared" si="3"/>
        <v>0</v>
      </c>
      <c r="AF58" s="433">
        <f t="shared" si="4"/>
        <v>3.693812211530902E-06</v>
      </c>
      <c r="AG58" s="605">
        <f>SUMPRODUCT(AE58:AE61,AF58:AF61)</f>
        <v>0</v>
      </c>
      <c r="AH58" s="137" t="s">
        <v>22</v>
      </c>
      <c r="AI58" s="23"/>
      <c r="AJ58" s="27"/>
      <c r="AK58" s="587"/>
      <c r="AL58" s="21"/>
    </row>
    <row r="59" spans="1:38" ht="12.75" customHeight="1" hidden="1">
      <c r="A59" s="608"/>
      <c r="B59" s="608"/>
      <c r="C59" s="518"/>
      <c r="D59" s="2" t="s">
        <v>23</v>
      </c>
      <c r="E59" s="5"/>
      <c r="F59" s="14">
        <f>IF(E59=0,0,E59/SUM(E58:E61))</f>
        <v>0</v>
      </c>
      <c r="G59" s="431">
        <f t="shared" si="2"/>
        <v>0</v>
      </c>
      <c r="H59" s="441"/>
      <c r="I59" s="441"/>
      <c r="J59" s="441"/>
      <c r="K59" s="441"/>
      <c r="L59" s="441"/>
      <c r="M59" s="441"/>
      <c r="N59" s="432">
        <f t="shared" si="22"/>
        <v>0</v>
      </c>
      <c r="O59" s="432">
        <f>I59/1000*$AF$3</f>
        <v>0</v>
      </c>
      <c r="P59" s="446">
        <f t="shared" si="17"/>
        <v>0</v>
      </c>
      <c r="Q59" s="446">
        <f t="shared" si="17"/>
        <v>0</v>
      </c>
      <c r="R59" s="446">
        <f t="shared" si="17"/>
        <v>0</v>
      </c>
      <c r="S59" s="432"/>
      <c r="T59" s="432"/>
      <c r="U59" s="432"/>
      <c r="V59" s="433">
        <f t="shared" si="19"/>
        <v>9.234530528827255E-07</v>
      </c>
      <c r="W59" s="433">
        <f t="shared" si="20"/>
        <v>9.234530528827255E-07</v>
      </c>
      <c r="X59" s="433">
        <f t="shared" si="23"/>
        <v>9.234530528827255E-07</v>
      </c>
      <c r="Y59" s="433">
        <f t="shared" si="23"/>
        <v>9.234530528827255E-07</v>
      </c>
      <c r="Z59" s="433"/>
      <c r="AA59" s="433"/>
      <c r="AB59" s="433"/>
      <c r="AC59" s="433"/>
      <c r="AD59" s="430" t="s">
        <v>23</v>
      </c>
      <c r="AE59" s="434">
        <f t="shared" si="3"/>
        <v>0</v>
      </c>
      <c r="AF59" s="433">
        <f t="shared" si="4"/>
        <v>3.693812211530902E-06</v>
      </c>
      <c r="AG59" s="606"/>
      <c r="AH59" s="138" t="s">
        <v>23</v>
      </c>
      <c r="AI59" s="29"/>
      <c r="AJ59" s="33"/>
      <c r="AK59" s="588"/>
      <c r="AL59" s="21"/>
    </row>
    <row r="60" spans="1:38" ht="12.75" customHeight="1" hidden="1">
      <c r="A60" s="608"/>
      <c r="B60" s="608"/>
      <c r="C60" s="518"/>
      <c r="D60" s="2" t="s">
        <v>24</v>
      </c>
      <c r="E60" s="5"/>
      <c r="F60" s="14">
        <f>IF(E60=0,0,E60/SUM(E58:E61))</f>
        <v>0</v>
      </c>
      <c r="G60" s="431">
        <f t="shared" si="2"/>
        <v>0</v>
      </c>
      <c r="H60" s="441"/>
      <c r="I60" s="441"/>
      <c r="J60" s="441"/>
      <c r="K60" s="441"/>
      <c r="L60" s="441"/>
      <c r="M60" s="441"/>
      <c r="N60" s="432">
        <f t="shared" si="22"/>
        <v>0</v>
      </c>
      <c r="O60" s="432">
        <f>I60/1000*$AF$3</f>
        <v>0</v>
      </c>
      <c r="P60" s="446">
        <f t="shared" si="17"/>
        <v>0</v>
      </c>
      <c r="Q60" s="446">
        <f t="shared" si="17"/>
        <v>0</v>
      </c>
      <c r="R60" s="446">
        <f t="shared" si="17"/>
        <v>0</v>
      </c>
      <c r="S60" s="432"/>
      <c r="T60" s="432"/>
      <c r="U60" s="432"/>
      <c r="V60" s="433">
        <f t="shared" si="19"/>
        <v>9.234530528827255E-07</v>
      </c>
      <c r="W60" s="433">
        <f t="shared" si="20"/>
        <v>9.234530528827255E-07</v>
      </c>
      <c r="X60" s="433">
        <f t="shared" si="23"/>
        <v>9.234530528827255E-07</v>
      </c>
      <c r="Y60" s="433">
        <f t="shared" si="23"/>
        <v>9.234530528827255E-07</v>
      </c>
      <c r="Z60" s="433"/>
      <c r="AA60" s="433"/>
      <c r="AB60" s="433"/>
      <c r="AC60" s="433"/>
      <c r="AD60" s="430" t="s">
        <v>24</v>
      </c>
      <c r="AE60" s="434">
        <f t="shared" si="3"/>
        <v>0</v>
      </c>
      <c r="AF60" s="433">
        <f t="shared" si="4"/>
        <v>3.693812211530902E-06</v>
      </c>
      <c r="AG60" s="606"/>
      <c r="AH60" s="138" t="s">
        <v>24</v>
      </c>
      <c r="AI60" s="29"/>
      <c r="AJ60" s="33"/>
      <c r="AK60" s="588"/>
      <c r="AL60" s="21"/>
    </row>
    <row r="61" spans="1:38" ht="12.75" customHeight="1" hidden="1">
      <c r="A61" s="609"/>
      <c r="B61" s="609"/>
      <c r="C61" s="518"/>
      <c r="D61" s="3" t="s">
        <v>25</v>
      </c>
      <c r="E61" s="6"/>
      <c r="F61" s="15">
        <f>IF(E61=0,0,E61/SUM(E58:E61))</f>
        <v>0</v>
      </c>
      <c r="G61" s="431">
        <f t="shared" si="2"/>
        <v>0</v>
      </c>
      <c r="H61" s="441"/>
      <c r="I61" s="441"/>
      <c r="J61" s="441"/>
      <c r="K61" s="441"/>
      <c r="L61" s="441"/>
      <c r="M61" s="441"/>
      <c r="N61" s="432">
        <f t="shared" si="22"/>
        <v>0</v>
      </c>
      <c r="O61" s="432">
        <f>I61/1000*$AF$3</f>
        <v>0</v>
      </c>
      <c r="P61" s="446">
        <f t="shared" si="17"/>
        <v>0</v>
      </c>
      <c r="Q61" s="446">
        <f t="shared" si="17"/>
        <v>0</v>
      </c>
      <c r="R61" s="446">
        <f t="shared" si="17"/>
        <v>0</v>
      </c>
      <c r="S61" s="432"/>
      <c r="T61" s="432"/>
      <c r="U61" s="432"/>
      <c r="V61" s="433">
        <f t="shared" si="19"/>
        <v>9.234530528827255E-07</v>
      </c>
      <c r="W61" s="433">
        <f t="shared" si="20"/>
        <v>9.234530528827255E-07</v>
      </c>
      <c r="X61" s="433">
        <f t="shared" si="23"/>
        <v>9.234530528827255E-07</v>
      </c>
      <c r="Y61" s="433">
        <f t="shared" si="23"/>
        <v>9.234530528827255E-07</v>
      </c>
      <c r="Z61" s="433"/>
      <c r="AA61" s="433"/>
      <c r="AB61" s="433"/>
      <c r="AC61" s="433"/>
      <c r="AD61" s="430" t="s">
        <v>25</v>
      </c>
      <c r="AE61" s="434">
        <f t="shared" si="3"/>
        <v>0</v>
      </c>
      <c r="AF61" s="433">
        <f t="shared" si="4"/>
        <v>3.693812211530902E-06</v>
      </c>
      <c r="AG61" s="607"/>
      <c r="AH61" s="139" t="s">
        <v>25</v>
      </c>
      <c r="AI61" s="35"/>
      <c r="AJ61" s="39"/>
      <c r="AK61" s="589"/>
      <c r="AL61" s="21"/>
    </row>
    <row r="62" spans="1:38" ht="12.75">
      <c r="A62" s="473"/>
      <c r="B62" s="405"/>
      <c r="C62" s="440"/>
      <c r="D62" s="1" t="s">
        <v>22</v>
      </c>
      <c r="E62" s="4">
        <v>2</v>
      </c>
      <c r="F62" s="13">
        <f>IF(E62=0,0,E62/SUM(E62:E65))</f>
        <v>0.09523809523809523</v>
      </c>
      <c r="G62" s="431">
        <f t="shared" si="2"/>
        <v>10950</v>
      </c>
      <c r="H62" s="441">
        <v>3150</v>
      </c>
      <c r="I62" s="441">
        <v>1700</v>
      </c>
      <c r="J62" s="441">
        <v>1900</v>
      </c>
      <c r="K62" s="441">
        <v>4200</v>
      </c>
      <c r="L62" s="441"/>
      <c r="M62" s="441"/>
      <c r="N62" s="432">
        <f t="shared" si="22"/>
        <v>6.94575</v>
      </c>
      <c r="O62" s="432"/>
      <c r="P62" s="446"/>
      <c r="Q62" s="446">
        <f aca="true" t="shared" si="24" ref="Q62:Q73">K62/1000*$AF$3</f>
        <v>9.261000000000001</v>
      </c>
      <c r="R62" s="446">
        <f aca="true" t="shared" si="25" ref="R62:R73">L62/1000*$AF$3</f>
        <v>0</v>
      </c>
      <c r="S62" s="432">
        <f aca="true" t="shared" si="26" ref="S62:S105">(I62+J62)/1000*$AF$3</f>
        <v>7.938000000000001</v>
      </c>
      <c r="T62" s="432"/>
      <c r="U62" s="432"/>
      <c r="V62" s="433">
        <f aca="true" t="shared" si="27" ref="V62:V69">1/10^(6.1252-4.79*LOG(N62+1)+(LOG((4.2-$AF$5)/(4.2-1.5)))*(1/(0.4+0.081*(N62+1)^3.23/($AF$4+1)^5.19)-1/(0.4+1094/($AF$4+1)^5.19)))</f>
        <v>0.018644031819837842</v>
      </c>
      <c r="W62" s="433"/>
      <c r="X62" s="433"/>
      <c r="Y62" s="433"/>
      <c r="Z62" s="433"/>
      <c r="AA62" s="433">
        <f>1/10^(7.4287-4.79*LOG(S62+2)+(LOG((4.2-$AF$5)/(4.2-1.5)))*(1/(0.4+0.008633*(S62+2)^3.23/($AF$4+1)^5.19)-1/(0.4+1094/($AF$4+1)^5.19)))</f>
        <v>0.0027386531414803766</v>
      </c>
      <c r="AB62" s="433"/>
      <c r="AC62" s="433"/>
      <c r="AD62" s="430" t="s">
        <v>22</v>
      </c>
      <c r="AE62" s="434">
        <f t="shared" si="3"/>
        <v>0.09523809523809523</v>
      </c>
      <c r="AF62" s="433">
        <f t="shared" si="4"/>
        <v>0.02138268496131822</v>
      </c>
      <c r="AG62" s="605">
        <f>SUMPRODUCT(AE62:AE65,AF62:AF65)</f>
        <v>0.17742363565081323</v>
      </c>
      <c r="AH62" s="137" t="s">
        <v>22</v>
      </c>
      <c r="AI62" s="23"/>
      <c r="AJ62" s="27"/>
      <c r="AK62" s="587"/>
      <c r="AL62" s="21"/>
    </row>
    <row r="63" spans="1:38" ht="12.75">
      <c r="A63" s="435"/>
      <c r="B63" s="474"/>
      <c r="C63" s="436"/>
      <c r="D63" s="2" t="s">
        <v>23</v>
      </c>
      <c r="E63" s="5">
        <v>18</v>
      </c>
      <c r="F63" s="14">
        <f>IF(E63=0,0,E63/SUM(E62:E65))</f>
        <v>0.8571428571428571</v>
      </c>
      <c r="G63" s="431">
        <f t="shared" si="2"/>
        <v>18494</v>
      </c>
      <c r="H63" s="441">
        <v>5144</v>
      </c>
      <c r="I63" s="441">
        <v>3706</v>
      </c>
      <c r="J63" s="441">
        <v>3294</v>
      </c>
      <c r="K63" s="441">
        <v>6350</v>
      </c>
      <c r="L63" s="441"/>
      <c r="M63" s="441"/>
      <c r="N63" s="432">
        <f t="shared" si="22"/>
        <v>11.34252</v>
      </c>
      <c r="O63" s="432"/>
      <c r="P63" s="446"/>
      <c r="Q63" s="446">
        <f t="shared" si="24"/>
        <v>14.00175</v>
      </c>
      <c r="R63" s="446">
        <f t="shared" si="25"/>
        <v>0</v>
      </c>
      <c r="S63" s="432">
        <f t="shared" si="26"/>
        <v>15.435</v>
      </c>
      <c r="T63" s="432"/>
      <c r="U63" s="432"/>
      <c r="V63" s="433">
        <f t="shared" si="27"/>
        <v>0.14697069861586537</v>
      </c>
      <c r="W63" s="433"/>
      <c r="X63" s="433"/>
      <c r="Y63" s="433"/>
      <c r="Z63" s="433"/>
      <c r="AA63" s="433">
        <f>1/10^(7.4287-4.79*LOG(S63+2)+(LOG((4.2-$AF$5)/(4.2-1.5)))*(1/(0.4+0.008633*(S63+2)^3.23/($AF$4+1)^5.19)-1/(0.4+1094/($AF$4+1)^5.19)))</f>
        <v>0.03977090173921603</v>
      </c>
      <c r="AB63" s="433"/>
      <c r="AC63" s="433"/>
      <c r="AD63" s="430" t="s">
        <v>23</v>
      </c>
      <c r="AE63" s="434">
        <f t="shared" si="3"/>
        <v>0.8571428571428571</v>
      </c>
      <c r="AF63" s="433">
        <f t="shared" si="4"/>
        <v>0.18674160035508142</v>
      </c>
      <c r="AG63" s="606"/>
      <c r="AH63" s="138" t="s">
        <v>23</v>
      </c>
      <c r="AI63" s="29"/>
      <c r="AJ63" s="33"/>
      <c r="AK63" s="588"/>
      <c r="AL63" s="21"/>
    </row>
    <row r="64" spans="1:38" ht="12.75">
      <c r="A64" s="435">
        <v>14</v>
      </c>
      <c r="B64" s="429" t="s">
        <v>33</v>
      </c>
      <c r="C64" s="436"/>
      <c r="D64" s="2" t="s">
        <v>24</v>
      </c>
      <c r="E64" s="5">
        <v>1</v>
      </c>
      <c r="F64" s="14">
        <f>IF(E64=0,0,E64/SUM(E62:E65))</f>
        <v>0.047619047619047616</v>
      </c>
      <c r="G64" s="431">
        <f t="shared" si="2"/>
        <v>28300</v>
      </c>
      <c r="H64" s="441">
        <v>2700</v>
      </c>
      <c r="I64" s="441">
        <v>10000</v>
      </c>
      <c r="J64" s="441">
        <v>1400</v>
      </c>
      <c r="K64" s="441">
        <v>14200</v>
      </c>
      <c r="L64" s="441"/>
      <c r="M64" s="441"/>
      <c r="N64" s="432">
        <f t="shared" si="22"/>
        <v>5.953500000000001</v>
      </c>
      <c r="O64" s="432"/>
      <c r="P64" s="446"/>
      <c r="Q64" s="446">
        <f t="shared" si="24"/>
        <v>31.311</v>
      </c>
      <c r="R64" s="446">
        <f t="shared" si="25"/>
        <v>0</v>
      </c>
      <c r="S64" s="432">
        <f t="shared" si="26"/>
        <v>25.137</v>
      </c>
      <c r="T64" s="432"/>
      <c r="U64" s="432"/>
      <c r="V64" s="433">
        <f t="shared" si="27"/>
        <v>0.009892690610485557</v>
      </c>
      <c r="W64" s="433"/>
      <c r="X64" s="433"/>
      <c r="Y64" s="433"/>
      <c r="Z64" s="433"/>
      <c r="AA64" s="433">
        <f>1/10^(7.4287-4.79*LOG(S64+2)+(LOG((4.2-$AF$5)/(4.2-1.5)))*(1/(0.4+0.008633*(S64+2)^3.23/($AF$4+1)^5.19)-1/(0.4+1094/($AF$4+1)^5.19)))</f>
        <v>0.31188948174249065</v>
      </c>
      <c r="AB64" s="433"/>
      <c r="AC64" s="433"/>
      <c r="AD64" s="430" t="s">
        <v>24</v>
      </c>
      <c r="AE64" s="434">
        <f t="shared" si="3"/>
        <v>0.047619047619047616</v>
      </c>
      <c r="AF64" s="433">
        <f t="shared" si="4"/>
        <v>0.3217821723529762</v>
      </c>
      <c r="AG64" s="606"/>
      <c r="AH64" s="138" t="s">
        <v>24</v>
      </c>
      <c r="AI64" s="29"/>
      <c r="AJ64" s="33"/>
      <c r="AK64" s="588"/>
      <c r="AL64" s="21"/>
    </row>
    <row r="65" spans="1:38" ht="12.75">
      <c r="A65" s="438"/>
      <c r="B65" s="407"/>
      <c r="C65" s="439"/>
      <c r="D65" s="3" t="s">
        <v>25</v>
      </c>
      <c r="E65" s="6">
        <v>0</v>
      </c>
      <c r="F65" s="15">
        <f>IF(E65=0,0,E65/SUM(E62:E65))</f>
        <v>0</v>
      </c>
      <c r="G65" s="431">
        <f t="shared" si="2"/>
        <v>0</v>
      </c>
      <c r="H65" s="441">
        <v>0</v>
      </c>
      <c r="I65" s="441"/>
      <c r="J65" s="441"/>
      <c r="K65" s="441"/>
      <c r="L65" s="441"/>
      <c r="M65" s="441"/>
      <c r="N65" s="432">
        <f t="shared" si="22"/>
        <v>0</v>
      </c>
      <c r="O65" s="432">
        <f>I65/1000*$AF$3</f>
        <v>0</v>
      </c>
      <c r="P65" s="446">
        <f>J65/1000*$AF$3</f>
        <v>0</v>
      </c>
      <c r="Q65" s="446">
        <f t="shared" si="24"/>
        <v>0</v>
      </c>
      <c r="R65" s="446">
        <f t="shared" si="25"/>
        <v>0</v>
      </c>
      <c r="S65" s="432">
        <f t="shared" si="26"/>
        <v>0</v>
      </c>
      <c r="T65" s="432"/>
      <c r="U65" s="432"/>
      <c r="V65" s="433">
        <f t="shared" si="27"/>
        <v>9.234530528827255E-07</v>
      </c>
      <c r="W65" s="433"/>
      <c r="X65" s="433"/>
      <c r="Y65" s="433"/>
      <c r="Z65" s="433"/>
      <c r="AA65" s="433">
        <f>1/10^(7.4287-4.79*LOG(S65+2)+(LOG((4.2-$AF$5)/(4.2-1.5)))*(1/(0.4+0.008633*(S65+2)^3.23/($AF$4+1)^5.19)-1/(0.4+1094/($AF$4+1)^5.19)))</f>
        <v>1.270130954959039E-06</v>
      </c>
      <c r="AB65" s="433"/>
      <c r="AC65" s="433"/>
      <c r="AD65" s="430" t="s">
        <v>25</v>
      </c>
      <c r="AE65" s="434">
        <f t="shared" si="3"/>
        <v>0</v>
      </c>
      <c r="AF65" s="433">
        <f t="shared" si="4"/>
        <v>2.1935840078417646E-06</v>
      </c>
      <c r="AG65" s="607"/>
      <c r="AH65" s="139" t="s">
        <v>25</v>
      </c>
      <c r="AI65" s="35"/>
      <c r="AJ65" s="39"/>
      <c r="AK65" s="589"/>
      <c r="AL65" s="21"/>
    </row>
    <row r="66" spans="1:38" ht="12.75">
      <c r="A66" s="464"/>
      <c r="B66" s="465"/>
      <c r="C66" s="464"/>
      <c r="D66" s="442" t="s">
        <v>22</v>
      </c>
      <c r="E66" s="443">
        <v>183</v>
      </c>
      <c r="F66" s="444">
        <f>IF(E66=0,0,E66/SUM(E66:E69))</f>
        <v>0.1286015460295151</v>
      </c>
      <c r="G66" s="445">
        <f>SUM(H66:M66)</f>
        <v>14134</v>
      </c>
      <c r="H66" s="445">
        <v>3281</v>
      </c>
      <c r="I66" s="445">
        <v>5677</v>
      </c>
      <c r="J66" s="445">
        <v>2752</v>
      </c>
      <c r="K66" s="445">
        <v>2424</v>
      </c>
      <c r="L66" s="445"/>
      <c r="M66" s="445"/>
      <c r="N66" s="446">
        <f t="shared" si="22"/>
        <v>7.234605</v>
      </c>
      <c r="O66" s="446">
        <f aca="true" t="shared" si="28" ref="O66:P69">I66/1000*$AF$3</f>
        <v>12.517785</v>
      </c>
      <c r="P66" s="446">
        <f t="shared" si="28"/>
        <v>6.06816</v>
      </c>
      <c r="Q66" s="446">
        <f t="shared" si="24"/>
        <v>5.34492</v>
      </c>
      <c r="R66" s="446">
        <f t="shared" si="25"/>
        <v>0</v>
      </c>
      <c r="S66" s="446"/>
      <c r="T66" s="446"/>
      <c r="U66" s="446"/>
      <c r="V66" s="447">
        <f t="shared" si="27"/>
        <v>0.022081875616223812</v>
      </c>
      <c r="W66" s="447"/>
      <c r="X66" s="447"/>
      <c r="Y66" s="447"/>
      <c r="Z66" s="447"/>
      <c r="AA66" s="447">
        <f aca="true" t="shared" si="29" ref="AA66:AA101">1/10^(7.4287-4.79*LOG(S66+2)+(LOG((4.2-$AF$5)/(4.2-1.5)))*(1/(0.4+0.008633*(S66+2)^3.23/($AF$4+1)^5.19)-1/(0.4+1094/($AF$4+1)^5.19)))</f>
        <v>1.270130954959039E-06</v>
      </c>
      <c r="AB66" s="447"/>
      <c r="AC66" s="447"/>
      <c r="AD66" s="448" t="s">
        <v>22</v>
      </c>
      <c r="AE66" s="449">
        <f>F66</f>
        <v>0.1286015460295151</v>
      </c>
      <c r="AF66" s="447">
        <f>SUM(V66:AC66)</f>
        <v>0.022083145747178772</v>
      </c>
      <c r="AG66" s="590">
        <f>SUMPRODUCT(AE66:AE69,AF66:AF69)</f>
        <v>0.04586206167878091</v>
      </c>
      <c r="AH66" s="450" t="s">
        <v>22</v>
      </c>
      <c r="AI66" s="443"/>
      <c r="AJ66" s="451"/>
      <c r="AK66" s="596"/>
      <c r="AL66" s="21"/>
    </row>
    <row r="67" spans="1:38" ht="12.75">
      <c r="A67" s="466"/>
      <c r="B67" s="462"/>
      <c r="C67" s="467"/>
      <c r="D67" s="452" t="s">
        <v>23</v>
      </c>
      <c r="E67" s="453">
        <v>1111</v>
      </c>
      <c r="F67" s="454">
        <f>IF(E67=0,0,E67/SUM(E66:E69))</f>
        <v>0.780744905130007</v>
      </c>
      <c r="G67" s="445">
        <f>SUM(H67:M67)</f>
        <v>16892</v>
      </c>
      <c r="H67" s="445">
        <v>3691</v>
      </c>
      <c r="I67" s="445">
        <v>6682</v>
      </c>
      <c r="J67" s="445">
        <v>3484</v>
      </c>
      <c r="K67" s="445">
        <v>3035</v>
      </c>
      <c r="L67" s="445"/>
      <c r="M67" s="445"/>
      <c r="N67" s="446">
        <f t="shared" si="22"/>
        <v>8.138655</v>
      </c>
      <c r="O67" s="446">
        <f t="shared" si="28"/>
        <v>14.733810000000002</v>
      </c>
      <c r="P67" s="446">
        <f t="shared" si="28"/>
        <v>7.68222</v>
      </c>
      <c r="Q67" s="446">
        <f t="shared" si="24"/>
        <v>6.692175000000001</v>
      </c>
      <c r="R67" s="446">
        <f t="shared" si="25"/>
        <v>0</v>
      </c>
      <c r="S67" s="446"/>
      <c r="T67" s="446"/>
      <c r="U67" s="446"/>
      <c r="V67" s="447">
        <f t="shared" si="27"/>
        <v>0.03612985956712066</v>
      </c>
      <c r="W67" s="447"/>
      <c r="X67" s="447"/>
      <c r="Y67" s="447"/>
      <c r="Z67" s="447"/>
      <c r="AA67" s="447">
        <f t="shared" si="29"/>
        <v>1.270130954959039E-06</v>
      </c>
      <c r="AB67" s="447"/>
      <c r="AC67" s="447"/>
      <c r="AD67" s="448" t="s">
        <v>23</v>
      </c>
      <c r="AE67" s="449">
        <f>F67</f>
        <v>0.780744905130007</v>
      </c>
      <c r="AF67" s="447">
        <f>SUM(V67:AC67)</f>
        <v>0.03613112969807562</v>
      </c>
      <c r="AG67" s="591"/>
      <c r="AH67" s="455" t="s">
        <v>23</v>
      </c>
      <c r="AI67" s="453"/>
      <c r="AJ67" s="456"/>
      <c r="AK67" s="597"/>
      <c r="AL67" s="21"/>
    </row>
    <row r="68" spans="1:38" ht="12.75">
      <c r="A68" s="466">
        <v>15</v>
      </c>
      <c r="B68" s="463" t="s">
        <v>34</v>
      </c>
      <c r="C68" s="467"/>
      <c r="D68" s="452" t="s">
        <v>24</v>
      </c>
      <c r="E68" s="453">
        <v>105</v>
      </c>
      <c r="F68" s="454">
        <f>IF(E68=0,0,E68/SUM(E66:E69))</f>
        <v>0.07378777231201687</v>
      </c>
      <c r="G68" s="445">
        <f>SUM(H68:M68)</f>
        <v>33653</v>
      </c>
      <c r="H68" s="445">
        <v>5029</v>
      </c>
      <c r="I68" s="445">
        <v>9983</v>
      </c>
      <c r="J68" s="445">
        <v>9778</v>
      </c>
      <c r="K68" s="445">
        <v>8863</v>
      </c>
      <c r="L68" s="445"/>
      <c r="M68" s="445"/>
      <c r="N68" s="446">
        <f t="shared" si="22"/>
        <v>11.088945</v>
      </c>
      <c r="O68" s="446">
        <f t="shared" si="28"/>
        <v>22.012515</v>
      </c>
      <c r="P68" s="446">
        <f t="shared" si="28"/>
        <v>21.56049</v>
      </c>
      <c r="Q68" s="446">
        <f t="shared" si="24"/>
        <v>19.542915</v>
      </c>
      <c r="R68" s="446">
        <f t="shared" si="25"/>
        <v>0</v>
      </c>
      <c r="S68" s="446"/>
      <c r="T68" s="446"/>
      <c r="U68" s="446"/>
      <c r="V68" s="447">
        <f t="shared" si="27"/>
        <v>0.13355250960353746</v>
      </c>
      <c r="W68" s="447"/>
      <c r="X68" s="447"/>
      <c r="Y68" s="447"/>
      <c r="Z68" s="447"/>
      <c r="AA68" s="447">
        <f t="shared" si="29"/>
        <v>1.270130954959039E-06</v>
      </c>
      <c r="AB68" s="447"/>
      <c r="AC68" s="447"/>
      <c r="AD68" s="448" t="s">
        <v>24</v>
      </c>
      <c r="AE68" s="449">
        <f>F68</f>
        <v>0.07378777231201687</v>
      </c>
      <c r="AF68" s="447">
        <f>SUM(V68:AC68)</f>
        <v>0.13355377973449242</v>
      </c>
      <c r="AG68" s="591"/>
      <c r="AH68" s="455" t="s">
        <v>24</v>
      </c>
      <c r="AI68" s="453"/>
      <c r="AJ68" s="456"/>
      <c r="AK68" s="597"/>
      <c r="AL68" s="21"/>
    </row>
    <row r="69" spans="1:38" ht="12.75">
      <c r="A69" s="466"/>
      <c r="B69" s="468"/>
      <c r="C69" s="467"/>
      <c r="D69" s="457" t="s">
        <v>25</v>
      </c>
      <c r="E69" s="458">
        <v>24</v>
      </c>
      <c r="F69" s="459">
        <f>IF(E69=0,0,E69/SUM(E66:E69))</f>
        <v>0.016865776528460996</v>
      </c>
      <c r="G69" s="445">
        <f>SUM(H69:M69)</f>
        <v>39421</v>
      </c>
      <c r="H69" s="445">
        <v>6063</v>
      </c>
      <c r="I69" s="445">
        <v>11804</v>
      </c>
      <c r="J69" s="445">
        <v>11296</v>
      </c>
      <c r="K69" s="445">
        <v>10258</v>
      </c>
      <c r="L69" s="445"/>
      <c r="M69" s="445"/>
      <c r="N69" s="446">
        <f t="shared" si="22"/>
        <v>13.368915</v>
      </c>
      <c r="O69" s="446">
        <f t="shared" si="28"/>
        <v>26.027820000000002</v>
      </c>
      <c r="P69" s="446">
        <f t="shared" si="28"/>
        <v>24.90768</v>
      </c>
      <c r="Q69" s="446">
        <f t="shared" si="24"/>
        <v>22.61889</v>
      </c>
      <c r="R69" s="446">
        <f t="shared" si="25"/>
        <v>0</v>
      </c>
      <c r="S69" s="446"/>
      <c r="T69" s="446"/>
      <c r="U69" s="446"/>
      <c r="V69" s="447">
        <f t="shared" si="27"/>
        <v>0.2939848186393698</v>
      </c>
      <c r="W69" s="447"/>
      <c r="X69" s="447"/>
      <c r="Y69" s="447"/>
      <c r="Z69" s="447"/>
      <c r="AA69" s="447">
        <f t="shared" si="29"/>
        <v>1.270130954959039E-06</v>
      </c>
      <c r="AB69" s="447"/>
      <c r="AC69" s="447"/>
      <c r="AD69" s="448" t="s">
        <v>25</v>
      </c>
      <c r="AE69" s="449">
        <f>F69</f>
        <v>0.016865776528460996</v>
      </c>
      <c r="AF69" s="447">
        <f>SUM(V69:AC69)</f>
        <v>0.2939860887703248</v>
      </c>
      <c r="AG69" s="592"/>
      <c r="AH69" s="460" t="s">
        <v>25</v>
      </c>
      <c r="AI69" s="458"/>
      <c r="AJ69" s="461"/>
      <c r="AK69" s="598"/>
      <c r="AL69" s="21"/>
    </row>
    <row r="70" spans="1:38" ht="12.75">
      <c r="A70" s="520">
        <v>16</v>
      </c>
      <c r="B70" s="520" t="s">
        <v>35</v>
      </c>
      <c r="C70" s="520"/>
      <c r="D70" s="22" t="s">
        <v>22</v>
      </c>
      <c r="E70" s="23">
        <v>215</v>
      </c>
      <c r="F70" s="24">
        <f>IF(E70=0,0,E70/SUM(E70:E73))</f>
        <v>0.18313458262350937</v>
      </c>
      <c r="G70" s="412">
        <f t="shared" si="2"/>
        <v>13734</v>
      </c>
      <c r="H70" s="441">
        <v>3671</v>
      </c>
      <c r="I70" s="441">
        <v>4505</v>
      </c>
      <c r="J70" s="441">
        <v>2965</v>
      </c>
      <c r="K70" s="441">
        <v>2593</v>
      </c>
      <c r="L70" s="441"/>
      <c r="M70" s="441"/>
      <c r="N70" s="414">
        <f t="shared" si="22"/>
        <v>8.094555</v>
      </c>
      <c r="O70" s="414">
        <f aca="true" t="shared" si="30" ref="O70:P73">I70/1000*$AF$3</f>
        <v>9.933525</v>
      </c>
      <c r="P70" s="414">
        <f t="shared" si="30"/>
        <v>6.537825</v>
      </c>
      <c r="Q70" s="446">
        <f t="shared" si="24"/>
        <v>5.7175650000000005</v>
      </c>
      <c r="R70" s="446">
        <f t="shared" si="25"/>
        <v>0</v>
      </c>
      <c r="S70" s="414"/>
      <c r="T70" s="414"/>
      <c r="U70" s="414"/>
      <c r="V70" s="415">
        <f t="shared" si="19"/>
        <v>0.035314903159142735</v>
      </c>
      <c r="W70" s="415">
        <f t="shared" si="20"/>
        <v>0.08379080640876632</v>
      </c>
      <c r="X70" s="415">
        <f t="shared" si="23"/>
        <v>0.014518210113654756</v>
      </c>
      <c r="Y70" s="415">
        <f t="shared" si="23"/>
        <v>0.008393655166800703</v>
      </c>
      <c r="Z70" s="415"/>
      <c r="AA70" s="415">
        <f t="shared" si="29"/>
        <v>1.270130954959039E-06</v>
      </c>
      <c r="AB70" s="415"/>
      <c r="AC70" s="415"/>
      <c r="AD70" s="411" t="s">
        <v>22</v>
      </c>
      <c r="AE70" s="416">
        <f t="shared" si="3"/>
        <v>0.18313458262350937</v>
      </c>
      <c r="AF70" s="415">
        <f t="shared" si="4"/>
        <v>0.1420188449793195</v>
      </c>
      <c r="AG70" s="593">
        <f>SUMPRODUCT(AE70:AE73,AF70:AF73)</f>
        <v>1.5500652731637556</v>
      </c>
      <c r="AH70" s="137" t="s">
        <v>22</v>
      </c>
      <c r="AI70" s="23"/>
      <c r="AJ70" s="27"/>
      <c r="AK70" s="587"/>
      <c r="AL70" s="21"/>
    </row>
    <row r="71" spans="1:38" ht="12.75">
      <c r="A71" s="608"/>
      <c r="B71" s="608"/>
      <c r="C71" s="521"/>
      <c r="D71" s="28" t="s">
        <v>23</v>
      </c>
      <c r="E71" s="29">
        <v>738</v>
      </c>
      <c r="F71" s="30">
        <f>IF(E71=0,0,E71/SUM(E70:E73))</f>
        <v>0.6286201022146508</v>
      </c>
      <c r="G71" s="412">
        <f t="shared" si="2"/>
        <v>19662</v>
      </c>
      <c r="H71" s="441">
        <v>4509</v>
      </c>
      <c r="I71" s="441">
        <v>6325</v>
      </c>
      <c r="J71" s="441">
        <v>4454</v>
      </c>
      <c r="K71" s="441">
        <v>4374</v>
      </c>
      <c r="L71" s="441"/>
      <c r="M71" s="441"/>
      <c r="N71" s="414">
        <f t="shared" si="22"/>
        <v>9.942345000000001</v>
      </c>
      <c r="O71" s="414">
        <f t="shared" si="30"/>
        <v>13.946625000000001</v>
      </c>
      <c r="P71" s="414">
        <f t="shared" si="30"/>
        <v>9.821069999999999</v>
      </c>
      <c r="Q71" s="446">
        <f t="shared" si="24"/>
        <v>9.64467</v>
      </c>
      <c r="R71" s="446">
        <f t="shared" si="25"/>
        <v>0</v>
      </c>
      <c r="S71" s="414"/>
      <c r="T71" s="414"/>
      <c r="U71" s="414"/>
      <c r="V71" s="415">
        <f t="shared" si="19"/>
        <v>0.08410636198275072</v>
      </c>
      <c r="W71" s="415">
        <f t="shared" si="20"/>
        <v>0.35095502628968284</v>
      </c>
      <c r="X71" s="415">
        <f t="shared" si="23"/>
        <v>0.07984661577956781</v>
      </c>
      <c r="Y71" s="415">
        <f t="shared" si="23"/>
        <v>0.07394889309477669</v>
      </c>
      <c r="Z71" s="415"/>
      <c r="AA71" s="415">
        <f t="shared" si="29"/>
        <v>1.270130954959039E-06</v>
      </c>
      <c r="AB71" s="415"/>
      <c r="AC71" s="415"/>
      <c r="AD71" s="411" t="s">
        <v>23</v>
      </c>
      <c r="AE71" s="416">
        <f t="shared" si="3"/>
        <v>0.6286201022146508</v>
      </c>
      <c r="AF71" s="415">
        <f t="shared" si="4"/>
        <v>0.588858167277733</v>
      </c>
      <c r="AG71" s="594"/>
      <c r="AH71" s="138" t="s">
        <v>23</v>
      </c>
      <c r="AI71" s="29"/>
      <c r="AJ71" s="33"/>
      <c r="AK71" s="588"/>
      <c r="AL71" s="21"/>
    </row>
    <row r="72" spans="1:38" ht="12.75">
      <c r="A72" s="608"/>
      <c r="B72" s="608"/>
      <c r="C72" s="521"/>
      <c r="D72" s="28" t="s">
        <v>24</v>
      </c>
      <c r="E72" s="29">
        <v>188</v>
      </c>
      <c r="F72" s="30">
        <f>IF(E72=0,0,E72/SUM(E70:E73))</f>
        <v>0.16013628620102216</v>
      </c>
      <c r="G72" s="412">
        <f t="shared" si="2"/>
        <v>33756</v>
      </c>
      <c r="H72" s="441">
        <v>5561</v>
      </c>
      <c r="I72" s="441">
        <v>9647</v>
      </c>
      <c r="J72" s="441">
        <v>9630</v>
      </c>
      <c r="K72" s="441">
        <v>8918</v>
      </c>
      <c r="L72" s="441"/>
      <c r="M72" s="441"/>
      <c r="N72" s="414">
        <f t="shared" si="22"/>
        <v>12.262005</v>
      </c>
      <c r="O72" s="414">
        <f t="shared" si="30"/>
        <v>21.271635</v>
      </c>
      <c r="P72" s="414">
        <f t="shared" si="30"/>
        <v>21.234150000000003</v>
      </c>
      <c r="Q72" s="446">
        <f t="shared" si="24"/>
        <v>19.664189999999998</v>
      </c>
      <c r="R72" s="446">
        <f t="shared" si="25"/>
        <v>0</v>
      </c>
      <c r="S72" s="414"/>
      <c r="T72" s="414"/>
      <c r="U72" s="414"/>
      <c r="V72" s="415">
        <f t="shared" si="19"/>
        <v>0.2043366057800947</v>
      </c>
      <c r="W72" s="415">
        <f t="shared" si="20"/>
        <v>1.93258526112606</v>
      </c>
      <c r="X72" s="415">
        <f t="shared" si="23"/>
        <v>1.9194239961515196</v>
      </c>
      <c r="Y72" s="415">
        <f t="shared" si="23"/>
        <v>1.4217406571687223</v>
      </c>
      <c r="Z72" s="415"/>
      <c r="AA72" s="415">
        <f t="shared" si="29"/>
        <v>1.270130954959039E-06</v>
      </c>
      <c r="AB72" s="415"/>
      <c r="AC72" s="415"/>
      <c r="AD72" s="411" t="s">
        <v>24</v>
      </c>
      <c r="AE72" s="416">
        <f t="shared" si="3"/>
        <v>0.16013628620102216</v>
      </c>
      <c r="AF72" s="415">
        <f t="shared" si="4"/>
        <v>5.4780877903573515</v>
      </c>
      <c r="AG72" s="594"/>
      <c r="AH72" s="138" t="s">
        <v>24</v>
      </c>
      <c r="AI72" s="29"/>
      <c r="AJ72" s="33"/>
      <c r="AK72" s="588"/>
      <c r="AL72" s="21"/>
    </row>
    <row r="73" spans="1:38" ht="12.75">
      <c r="A73" s="609"/>
      <c r="B73" s="609"/>
      <c r="C73" s="522"/>
      <c r="D73" s="34" t="s">
        <v>25</v>
      </c>
      <c r="E73" s="35">
        <v>33</v>
      </c>
      <c r="F73" s="36">
        <f>IF(E73=0,0,E73/SUM(E70:E73))</f>
        <v>0.028109028960817718</v>
      </c>
      <c r="G73" s="412">
        <f t="shared" si="2"/>
        <v>38990</v>
      </c>
      <c r="H73" s="441">
        <v>6091</v>
      </c>
      <c r="I73" s="441">
        <v>11333</v>
      </c>
      <c r="J73" s="441">
        <v>11227</v>
      </c>
      <c r="K73" s="441">
        <v>10339</v>
      </c>
      <c r="L73" s="441"/>
      <c r="M73" s="441"/>
      <c r="N73" s="414">
        <f t="shared" si="22"/>
        <v>13.430655000000002</v>
      </c>
      <c r="O73" s="414">
        <f t="shared" si="30"/>
        <v>24.989265</v>
      </c>
      <c r="P73" s="414">
        <f t="shared" si="30"/>
        <v>24.755535000000002</v>
      </c>
      <c r="Q73" s="446">
        <f t="shared" si="24"/>
        <v>22.797495</v>
      </c>
      <c r="R73" s="446">
        <f t="shared" si="25"/>
        <v>0</v>
      </c>
      <c r="S73" s="414"/>
      <c r="T73" s="414"/>
      <c r="U73" s="414"/>
      <c r="V73" s="415">
        <f t="shared" si="19"/>
        <v>0.299721485050766</v>
      </c>
      <c r="W73" s="415">
        <f t="shared" si="20"/>
        <v>3.5718922521022547</v>
      </c>
      <c r="X73" s="415">
        <f t="shared" si="23"/>
        <v>3.4477456587822486</v>
      </c>
      <c r="Y73" s="415">
        <f t="shared" si="23"/>
        <v>2.5226013637988123</v>
      </c>
      <c r="Z73" s="415"/>
      <c r="AA73" s="415">
        <f t="shared" si="29"/>
        <v>1.270130954959039E-06</v>
      </c>
      <c r="AB73" s="415"/>
      <c r="AC73" s="415"/>
      <c r="AD73" s="411" t="s">
        <v>25</v>
      </c>
      <c r="AE73" s="416">
        <f t="shared" si="3"/>
        <v>0.028109028960817718</v>
      </c>
      <c r="AF73" s="415">
        <f t="shared" si="4"/>
        <v>9.841962029865037</v>
      </c>
      <c r="AG73" s="595"/>
      <c r="AH73" s="139" t="s">
        <v>25</v>
      </c>
      <c r="AI73" s="35"/>
      <c r="AJ73" s="39"/>
      <c r="AK73" s="589"/>
      <c r="AL73" s="21"/>
    </row>
    <row r="74" spans="1:38" ht="12.75">
      <c r="A74" s="611">
        <v>17</v>
      </c>
      <c r="B74" s="611" t="s">
        <v>36</v>
      </c>
      <c r="C74" s="611"/>
      <c r="D74" s="442" t="s">
        <v>22</v>
      </c>
      <c r="E74" s="443">
        <v>42</v>
      </c>
      <c r="F74" s="444">
        <f>IF(E74=0,0,E74/SUM(E74:E77))</f>
        <v>0.043795620437956206</v>
      </c>
      <c r="G74" s="445">
        <f t="shared" si="2"/>
        <v>13989</v>
      </c>
      <c r="H74" s="445">
        <v>3386</v>
      </c>
      <c r="I74" s="445">
        <v>4733</v>
      </c>
      <c r="J74" s="445">
        <v>1505</v>
      </c>
      <c r="K74" s="445">
        <v>2117</v>
      </c>
      <c r="L74" s="445">
        <v>2248</v>
      </c>
      <c r="M74" s="445"/>
      <c r="N74" s="446">
        <f t="shared" si="22"/>
        <v>7.466130000000001</v>
      </c>
      <c r="O74" s="446">
        <f>I74/1000*$AF$3</f>
        <v>10.436264999999999</v>
      </c>
      <c r="P74" s="414"/>
      <c r="Q74" s="446"/>
      <c r="R74" s="446"/>
      <c r="S74" s="446"/>
      <c r="T74" s="446"/>
      <c r="U74" s="446">
        <f>(J74+K74+L74)/1000*$AF$3</f>
        <v>12.94335</v>
      </c>
      <c r="V74" s="447">
        <f t="shared" si="19"/>
        <v>0.02517928256180689</v>
      </c>
      <c r="W74" s="447">
        <f t="shared" si="20"/>
        <v>0.10328454272471305</v>
      </c>
      <c r="X74" s="447">
        <f t="shared" si="23"/>
        <v>9.234530528827255E-07</v>
      </c>
      <c r="Y74" s="447">
        <f t="shared" si="23"/>
        <v>9.234530528827255E-07</v>
      </c>
      <c r="Z74" s="447"/>
      <c r="AA74" s="447">
        <f t="shared" si="29"/>
        <v>1.270130954959039E-06</v>
      </c>
      <c r="AB74" s="447"/>
      <c r="AC74" s="447">
        <f>1/10^(8.1912-4.79*LOG(U74+3)+(LOG((4.2-$AF$5)/(4.2-1.5)))*(1/(0.4+0.00233*(U74+3)^3.23/($AF$4+1)^5.19)-1/(0.4+1094/($AF$4+1)^5.19)))</f>
        <v>0.004549684866710066</v>
      </c>
      <c r="AD74" s="448" t="s">
        <v>22</v>
      </c>
      <c r="AE74" s="449">
        <f t="shared" si="3"/>
        <v>0.043795620437956206</v>
      </c>
      <c r="AF74" s="447">
        <f t="shared" si="4"/>
        <v>0.13301662719029075</v>
      </c>
      <c r="AG74" s="590">
        <f>SUMPRODUCT(AE74:AE77,AF74:AF77)</f>
        <v>1.8990817402743807</v>
      </c>
      <c r="AH74" s="450" t="s">
        <v>22</v>
      </c>
      <c r="AI74" s="443"/>
      <c r="AJ74" s="451"/>
      <c r="AK74" s="596"/>
      <c r="AL74" s="21"/>
    </row>
    <row r="75" spans="1:38" ht="12.75">
      <c r="A75" s="608"/>
      <c r="B75" s="608"/>
      <c r="C75" s="612"/>
      <c r="D75" s="452" t="s">
        <v>23</v>
      </c>
      <c r="E75" s="453">
        <v>443</v>
      </c>
      <c r="F75" s="454">
        <f>IF(E75=0,0,E75/SUM(E74:E77))</f>
        <v>0.4619395203336809</v>
      </c>
      <c r="G75" s="445">
        <f t="shared" si="2"/>
        <v>21941</v>
      </c>
      <c r="H75" s="445">
        <v>4495</v>
      </c>
      <c r="I75" s="445">
        <v>6501</v>
      </c>
      <c r="J75" s="445">
        <v>3183</v>
      </c>
      <c r="K75" s="445">
        <v>3893</v>
      </c>
      <c r="L75" s="445">
        <v>3869</v>
      </c>
      <c r="M75" s="445"/>
      <c r="N75" s="446">
        <f t="shared" si="22"/>
        <v>9.911475000000001</v>
      </c>
      <c r="O75" s="446">
        <f>I75/1000*$AF$3</f>
        <v>14.334705000000001</v>
      </c>
      <c r="P75" s="414"/>
      <c r="Q75" s="446"/>
      <c r="R75" s="446"/>
      <c r="S75" s="446"/>
      <c r="T75" s="446"/>
      <c r="U75" s="446">
        <f>(J75+K75+L75)/1000*$AF$3</f>
        <v>24.133725000000002</v>
      </c>
      <c r="V75" s="447">
        <f t="shared" si="19"/>
        <v>0.08300589388962126</v>
      </c>
      <c r="W75" s="447">
        <f t="shared" si="20"/>
        <v>0.3935321578258392</v>
      </c>
      <c r="X75" s="447">
        <f t="shared" si="23"/>
        <v>9.234530528827255E-07</v>
      </c>
      <c r="Y75" s="447">
        <f t="shared" si="23"/>
        <v>9.234530528827255E-07</v>
      </c>
      <c r="Z75" s="447"/>
      <c r="AA75" s="447">
        <f t="shared" si="29"/>
        <v>1.270130954959039E-06</v>
      </c>
      <c r="AB75" s="447"/>
      <c r="AC75" s="447">
        <f>1/10^(8.1912-4.79*LOG(U75+3)+(LOG((4.2-$AF$5)/(4.2-1.5)))*(1/(0.4+0.00233*(U75+3)^3.23/($AF$4+1)^5.19)-1/(0.4+1094/($AF$4+1)^5.19)))</f>
        <v>0.05702680396544169</v>
      </c>
      <c r="AD75" s="448" t="s">
        <v>23</v>
      </c>
      <c r="AE75" s="449">
        <f t="shared" si="3"/>
        <v>0.4619395203336809</v>
      </c>
      <c r="AF75" s="447">
        <f t="shared" si="4"/>
        <v>0.5335679727179629</v>
      </c>
      <c r="AG75" s="591"/>
      <c r="AH75" s="455" t="s">
        <v>23</v>
      </c>
      <c r="AI75" s="453"/>
      <c r="AJ75" s="456"/>
      <c r="AK75" s="597"/>
      <c r="AL75" s="21"/>
    </row>
    <row r="76" spans="1:38" ht="12.75">
      <c r="A76" s="608"/>
      <c r="B76" s="608"/>
      <c r="C76" s="612"/>
      <c r="D76" s="452" t="s">
        <v>24</v>
      </c>
      <c r="E76" s="453">
        <v>304</v>
      </c>
      <c r="F76" s="454">
        <f>IF(E76=0,0,E76/SUM(E74:E77))</f>
        <v>0.3169968717413973</v>
      </c>
      <c r="G76" s="445">
        <f t="shared" si="2"/>
        <v>34076</v>
      </c>
      <c r="H76" s="445">
        <v>4911</v>
      </c>
      <c r="I76" s="445">
        <v>9000</v>
      </c>
      <c r="J76" s="445">
        <v>6225</v>
      </c>
      <c r="K76" s="445">
        <v>6908</v>
      </c>
      <c r="L76" s="445">
        <v>7032</v>
      </c>
      <c r="M76" s="445"/>
      <c r="N76" s="446">
        <f t="shared" si="22"/>
        <v>10.828755</v>
      </c>
      <c r="O76" s="446">
        <f>I76/1000*$AF$3</f>
        <v>19.845</v>
      </c>
      <c r="P76" s="414"/>
      <c r="Q76" s="446"/>
      <c r="R76" s="446"/>
      <c r="S76" s="446"/>
      <c r="T76" s="446"/>
      <c r="U76" s="446">
        <f>(J76+K76+L76)/1000*$AF$3</f>
        <v>44.463825</v>
      </c>
      <c r="V76" s="447">
        <f t="shared" si="19"/>
        <v>0.12077331527472505</v>
      </c>
      <c r="W76" s="447">
        <f t="shared" si="20"/>
        <v>1.4738990053129333</v>
      </c>
      <c r="X76" s="447">
        <f t="shared" si="23"/>
        <v>9.234530528827255E-07</v>
      </c>
      <c r="Y76" s="447">
        <f t="shared" si="23"/>
        <v>9.234530528827255E-07</v>
      </c>
      <c r="Z76" s="447"/>
      <c r="AA76" s="447">
        <f t="shared" si="29"/>
        <v>1.270130954959039E-06</v>
      </c>
      <c r="AB76" s="447"/>
      <c r="AC76" s="447">
        <f>1/10^(8.1912-4.79*LOG(U76+3)+(LOG((4.2-$AF$5)/(4.2-1.5)))*(1/(0.4+0.00233*(U76+3)^3.23/($AF$4+1)^5.19)-1/(0.4+1094/($AF$4+1)^5.19)))</f>
        <v>0.7493075829408098</v>
      </c>
      <c r="AD76" s="448" t="s">
        <v>24</v>
      </c>
      <c r="AE76" s="449">
        <f t="shared" si="3"/>
        <v>0.3169968717413973</v>
      </c>
      <c r="AF76" s="447">
        <f t="shared" si="4"/>
        <v>2.3439830205655285</v>
      </c>
      <c r="AG76" s="591"/>
      <c r="AH76" s="455" t="s">
        <v>24</v>
      </c>
      <c r="AI76" s="453"/>
      <c r="AJ76" s="456"/>
      <c r="AK76" s="597"/>
      <c r="AL76" s="21"/>
    </row>
    <row r="77" spans="1:38" ht="12.75">
      <c r="A77" s="609"/>
      <c r="B77" s="609"/>
      <c r="C77" s="613"/>
      <c r="D77" s="457" t="s">
        <v>25</v>
      </c>
      <c r="E77" s="458">
        <v>170</v>
      </c>
      <c r="F77" s="459">
        <f>IF(E77=0,0,E77/SUM(E74:E77))</f>
        <v>0.1772679874869656</v>
      </c>
      <c r="G77" s="445">
        <f t="shared" si="2"/>
        <v>42153</v>
      </c>
      <c r="H77" s="445">
        <v>5480</v>
      </c>
      <c r="I77" s="445">
        <v>10606</v>
      </c>
      <c r="J77" s="445">
        <v>8620</v>
      </c>
      <c r="K77" s="445">
        <v>8846</v>
      </c>
      <c r="L77" s="445">
        <v>8601</v>
      </c>
      <c r="M77" s="445"/>
      <c r="N77" s="446">
        <f t="shared" si="22"/>
        <v>12.083400000000001</v>
      </c>
      <c r="O77" s="446">
        <f>I77/1000*$AF$3</f>
        <v>23.38623</v>
      </c>
      <c r="P77" s="414"/>
      <c r="Q77" s="446"/>
      <c r="R77" s="446"/>
      <c r="S77" s="446"/>
      <c r="T77" s="446"/>
      <c r="U77" s="446">
        <f>(J77+K77+L77)/1000*$AF$3</f>
        <v>57.477735</v>
      </c>
      <c r="V77" s="447">
        <f t="shared" si="19"/>
        <v>0.19206197047638848</v>
      </c>
      <c r="W77" s="447">
        <f t="shared" si="20"/>
        <v>2.77996756533162</v>
      </c>
      <c r="X77" s="447">
        <f t="shared" si="23"/>
        <v>9.234530528827255E-07</v>
      </c>
      <c r="Y77" s="447">
        <f t="shared" si="23"/>
        <v>9.234530528827255E-07</v>
      </c>
      <c r="Z77" s="447"/>
      <c r="AA77" s="447">
        <f t="shared" si="29"/>
        <v>1.270130954959039E-06</v>
      </c>
      <c r="AB77" s="447"/>
      <c r="AC77" s="447">
        <f>1/10^(8.1912-4.79*LOG(U77+3)+(LOG((4.2-$AF$5)/(4.2-1.5)))*(1/(0.4+0.00233*(U77+3)^3.23/($AF$4+1)^5.19)-1/(0.4+1094/($AF$4+1)^5.19)))</f>
        <v>2.126151114302936</v>
      </c>
      <c r="AD77" s="448" t="s">
        <v>25</v>
      </c>
      <c r="AE77" s="449">
        <f t="shared" si="3"/>
        <v>0.1772679874869656</v>
      </c>
      <c r="AF77" s="447">
        <f t="shared" si="4"/>
        <v>5.098183767148004</v>
      </c>
      <c r="AG77" s="592"/>
      <c r="AH77" s="460" t="s">
        <v>25</v>
      </c>
      <c r="AI77" s="458"/>
      <c r="AJ77" s="461"/>
      <c r="AK77" s="598"/>
      <c r="AL77" s="21"/>
    </row>
    <row r="78" spans="1:38" ht="12.75">
      <c r="A78" s="520">
        <v>18</v>
      </c>
      <c r="B78" s="520" t="s">
        <v>37</v>
      </c>
      <c r="C78" s="406"/>
      <c r="D78" s="1" t="s">
        <v>22</v>
      </c>
      <c r="E78" s="4">
        <v>25</v>
      </c>
      <c r="F78" s="13">
        <f>IF(E78=0,0,E78/SUM(E78:E81))</f>
        <v>0.020850708924103418</v>
      </c>
      <c r="G78" s="431">
        <f aca="true" t="shared" si="31" ref="G78:G109">SUM(H78:M78)</f>
        <v>15548</v>
      </c>
      <c r="H78" s="441">
        <v>4624</v>
      </c>
      <c r="I78" s="441">
        <v>3088</v>
      </c>
      <c r="J78" s="441">
        <v>2456</v>
      </c>
      <c r="K78" s="441">
        <v>2732</v>
      </c>
      <c r="L78" s="441">
        <v>2648</v>
      </c>
      <c r="M78" s="441"/>
      <c r="N78" s="432">
        <f aca="true" t="shared" si="32" ref="N78:N109">H78/1000*$AF$3</f>
        <v>10.19592</v>
      </c>
      <c r="O78" s="446"/>
      <c r="P78" s="414"/>
      <c r="Q78" s="446"/>
      <c r="R78" s="446"/>
      <c r="S78" s="432">
        <f t="shared" si="26"/>
        <v>12.22452</v>
      </c>
      <c r="T78" s="432">
        <f>(K78+L78)/1000*$AF$3</f>
        <v>11.8629</v>
      </c>
      <c r="U78" s="432"/>
      <c r="V78" s="433">
        <f aca="true" t="shared" si="33" ref="V78:V109">1/10^(6.1252-4.79*LOG(N78+1)+(LOG((4.2-$AF$5)/(4.2-1.5)))*(1/(0.4+0.081*(N78+1)^3.23/($AF$4+1)^5.19)-1/(0.4+1094/($AF$4+1)^5.19)))</f>
        <v>0.09357544048140275</v>
      </c>
      <c r="W78" s="433">
        <f aca="true" t="shared" si="34" ref="W78:W109">1/10^(6.1252-4.79*LOG(O78+1)+(LOG((4.2-$AF$5)/(4.2-1.5)))*(1/(0.4+0.081*(O78+1)^3.23/($AF$4+1)^5.19)-1/(0.4+1094/($AF$4+1)^5.19)))</f>
        <v>9.234530528827255E-07</v>
      </c>
      <c r="X78" s="433">
        <f t="shared" si="23"/>
        <v>9.234530528827255E-07</v>
      </c>
      <c r="Y78" s="433">
        <f t="shared" si="23"/>
        <v>9.234530528827255E-07</v>
      </c>
      <c r="Z78" s="433"/>
      <c r="AA78" s="433">
        <f t="shared" si="29"/>
        <v>0.015149227713020384</v>
      </c>
      <c r="AB78" s="433"/>
      <c r="AC78" s="433">
        <f aca="true" t="shared" si="35" ref="AC78:AC109">1/10^(8.1912-4.79*LOG(U78+3)+(LOG((4.2-$AF$5)/(4.2-1.5)))*(1/(0.4+0.00233*(U78+3)^3.23/($AF$4+1)^5.19)-1/(0.4+1094/($AF$4+1)^5.19)))</f>
        <v>1.5304728578489128E-06</v>
      </c>
      <c r="AD78" s="430" t="s">
        <v>22</v>
      </c>
      <c r="AE78" s="434">
        <f aca="true" t="shared" si="36" ref="AE78:AE109">F78</f>
        <v>0.020850708924103418</v>
      </c>
      <c r="AF78" s="433">
        <f aca="true" t="shared" si="37" ref="AF78:AF109">SUM(V78:AC78)</f>
        <v>0.10872896902643964</v>
      </c>
      <c r="AG78" s="605">
        <f>SUMPRODUCT(AE78:AE81,AF78:AF81)</f>
        <v>1.2689063976023494</v>
      </c>
      <c r="AH78" s="137" t="s">
        <v>22</v>
      </c>
      <c r="AI78" s="23"/>
      <c r="AJ78" s="27"/>
      <c r="AK78" s="587"/>
      <c r="AL78" s="21"/>
    </row>
    <row r="79" spans="1:38" ht="12.75">
      <c r="A79" s="608"/>
      <c r="B79" s="608"/>
      <c r="C79" s="406"/>
      <c r="D79" s="2" t="s">
        <v>23</v>
      </c>
      <c r="E79" s="5">
        <v>255</v>
      </c>
      <c r="F79" s="14">
        <f>IF(E79=0,0,E79/SUM(E78:E81))</f>
        <v>0.21267723102585487</v>
      </c>
      <c r="G79" s="431">
        <f t="shared" si="31"/>
        <v>27458</v>
      </c>
      <c r="H79" s="441">
        <v>5047</v>
      </c>
      <c r="I79" s="441">
        <v>5514</v>
      </c>
      <c r="J79" s="441">
        <v>4909</v>
      </c>
      <c r="K79" s="441">
        <v>5937</v>
      </c>
      <c r="L79" s="441">
        <v>6051</v>
      </c>
      <c r="M79" s="441"/>
      <c r="N79" s="432">
        <f t="shared" si="32"/>
        <v>11.128635</v>
      </c>
      <c r="O79" s="446"/>
      <c r="P79" s="414"/>
      <c r="Q79" s="446"/>
      <c r="R79" s="446"/>
      <c r="S79" s="432">
        <f t="shared" si="26"/>
        <v>22.982715000000002</v>
      </c>
      <c r="T79" s="432">
        <f>(K79+L79)/1000*$AF$3</f>
        <v>26.43354</v>
      </c>
      <c r="U79" s="432"/>
      <c r="V79" s="433">
        <f t="shared" si="33"/>
        <v>0.1355887540768073</v>
      </c>
      <c r="W79" s="433">
        <f t="shared" si="34"/>
        <v>9.234530528827255E-07</v>
      </c>
      <c r="X79" s="433">
        <f t="shared" si="23"/>
        <v>9.234530528827255E-07</v>
      </c>
      <c r="Y79" s="433">
        <f t="shared" si="23"/>
        <v>9.234530528827255E-07</v>
      </c>
      <c r="Z79" s="433"/>
      <c r="AA79" s="433">
        <f t="shared" si="29"/>
        <v>0.21361322411195316</v>
      </c>
      <c r="AB79" s="433"/>
      <c r="AC79" s="433">
        <f t="shared" si="35"/>
        <v>1.5304728578489128E-06</v>
      </c>
      <c r="AD79" s="430" t="s">
        <v>23</v>
      </c>
      <c r="AE79" s="434">
        <f t="shared" si="36"/>
        <v>0.21267723102585487</v>
      </c>
      <c r="AF79" s="433">
        <f t="shared" si="37"/>
        <v>0.34920627902077694</v>
      </c>
      <c r="AG79" s="606"/>
      <c r="AH79" s="138" t="s">
        <v>23</v>
      </c>
      <c r="AI79" s="29"/>
      <c r="AJ79" s="33"/>
      <c r="AK79" s="588"/>
      <c r="AL79" s="21"/>
    </row>
    <row r="80" spans="1:38" ht="12.75">
      <c r="A80" s="608"/>
      <c r="B80" s="608"/>
      <c r="C80" s="406"/>
      <c r="D80" s="2" t="s">
        <v>24</v>
      </c>
      <c r="E80" s="5">
        <v>543</v>
      </c>
      <c r="F80" s="14">
        <f>IF(E80=0,0,E80/SUM(E78:E81))</f>
        <v>0.45287739783152625</v>
      </c>
      <c r="G80" s="431">
        <f t="shared" si="31"/>
        <v>38271</v>
      </c>
      <c r="H80" s="441">
        <v>5444</v>
      </c>
      <c r="I80" s="441">
        <v>7770</v>
      </c>
      <c r="J80" s="441">
        <v>7150</v>
      </c>
      <c r="K80" s="441">
        <v>8900</v>
      </c>
      <c r="L80" s="441">
        <v>9007</v>
      </c>
      <c r="M80" s="441"/>
      <c r="N80" s="432">
        <f t="shared" si="32"/>
        <v>12.00402</v>
      </c>
      <c r="O80" s="446"/>
      <c r="P80" s="414"/>
      <c r="Q80" s="446"/>
      <c r="R80" s="446"/>
      <c r="S80" s="432">
        <f t="shared" si="26"/>
        <v>32.8986</v>
      </c>
      <c r="T80" s="432">
        <f>(K80+L80)/1000*$AF$3</f>
        <v>39.484935</v>
      </c>
      <c r="U80" s="432"/>
      <c r="V80" s="433">
        <f t="shared" si="33"/>
        <v>0.18678825401928192</v>
      </c>
      <c r="W80" s="433">
        <f t="shared" si="34"/>
        <v>9.234530528827255E-07</v>
      </c>
      <c r="X80" s="433">
        <f t="shared" si="23"/>
        <v>9.234530528827255E-07</v>
      </c>
      <c r="Y80" s="433">
        <f t="shared" si="23"/>
        <v>9.234530528827255E-07</v>
      </c>
      <c r="Z80" s="433"/>
      <c r="AA80" s="433">
        <f t="shared" si="29"/>
        <v>0.9550789716735063</v>
      </c>
      <c r="AB80" s="433"/>
      <c r="AC80" s="433">
        <f t="shared" si="35"/>
        <v>1.5304728578489128E-06</v>
      </c>
      <c r="AD80" s="430" t="s">
        <v>24</v>
      </c>
      <c r="AE80" s="434">
        <f t="shared" si="36"/>
        <v>0.45287739783152625</v>
      </c>
      <c r="AF80" s="433">
        <f t="shared" si="37"/>
        <v>1.1418715265248047</v>
      </c>
      <c r="AG80" s="606"/>
      <c r="AH80" s="138" t="s">
        <v>24</v>
      </c>
      <c r="AI80" s="29"/>
      <c r="AJ80" s="33"/>
      <c r="AK80" s="588"/>
      <c r="AL80" s="21"/>
    </row>
    <row r="81" spans="1:38" ht="12.75">
      <c r="A81" s="609"/>
      <c r="B81" s="609"/>
      <c r="C81" s="406"/>
      <c r="D81" s="3" t="s">
        <v>25</v>
      </c>
      <c r="E81" s="6">
        <v>376</v>
      </c>
      <c r="F81" s="15">
        <f>IF(E81=0,0,E81/SUM(E78:E81))</f>
        <v>0.31359466221851545</v>
      </c>
      <c r="G81" s="431">
        <f t="shared" si="31"/>
        <v>44882</v>
      </c>
      <c r="H81" s="441">
        <v>6041</v>
      </c>
      <c r="I81" s="441">
        <v>9197</v>
      </c>
      <c r="J81" s="441">
        <v>8423</v>
      </c>
      <c r="K81" s="441">
        <v>10757</v>
      </c>
      <c r="L81" s="441">
        <v>10464</v>
      </c>
      <c r="M81" s="441"/>
      <c r="N81" s="432">
        <f t="shared" si="32"/>
        <v>13.320405000000001</v>
      </c>
      <c r="O81" s="446"/>
      <c r="P81" s="414"/>
      <c r="Q81" s="446"/>
      <c r="R81" s="446"/>
      <c r="S81" s="432">
        <f t="shared" si="26"/>
        <v>38.8521</v>
      </c>
      <c r="T81" s="432">
        <f>(K81+L81)/1000*$AF$3</f>
        <v>46.792305</v>
      </c>
      <c r="U81" s="432"/>
      <c r="V81" s="433">
        <f t="shared" si="33"/>
        <v>0.28953482722713</v>
      </c>
      <c r="W81" s="433">
        <f t="shared" si="34"/>
        <v>9.234530528827255E-07</v>
      </c>
      <c r="X81" s="433">
        <f t="shared" si="23"/>
        <v>9.234530528827255E-07</v>
      </c>
      <c r="Y81" s="433">
        <f t="shared" si="23"/>
        <v>9.234530528827255E-07</v>
      </c>
      <c r="Z81" s="433"/>
      <c r="AA81" s="433">
        <f t="shared" si="29"/>
        <v>1.8636967933405577</v>
      </c>
      <c r="AB81" s="433"/>
      <c r="AC81" s="433">
        <f t="shared" si="35"/>
        <v>1.5304728578489128E-06</v>
      </c>
      <c r="AD81" s="430" t="s">
        <v>25</v>
      </c>
      <c r="AE81" s="434">
        <f t="shared" si="36"/>
        <v>0.31359466221851545</v>
      </c>
      <c r="AF81" s="433">
        <f t="shared" si="37"/>
        <v>2.153235921399704</v>
      </c>
      <c r="AG81" s="607"/>
      <c r="AH81" s="139" t="s">
        <v>25</v>
      </c>
      <c r="AI81" s="35"/>
      <c r="AJ81" s="39"/>
      <c r="AK81" s="589"/>
      <c r="AL81" s="21"/>
    </row>
    <row r="82" spans="1:38" ht="12.75">
      <c r="A82" s="465"/>
      <c r="B82" s="465"/>
      <c r="C82" s="465"/>
      <c r="D82" s="442" t="s">
        <v>22</v>
      </c>
      <c r="E82" s="443">
        <v>1</v>
      </c>
      <c r="F82" s="444">
        <f>IF(E82=0,0,E82/SUM(E82:E85))</f>
        <v>0.008064516129032258</v>
      </c>
      <c r="G82" s="445">
        <f t="shared" si="31"/>
        <v>9870</v>
      </c>
      <c r="H82" s="445">
        <v>370</v>
      </c>
      <c r="I82" s="445">
        <v>3200</v>
      </c>
      <c r="J82" s="445">
        <v>2400</v>
      </c>
      <c r="K82" s="445">
        <v>1600</v>
      </c>
      <c r="L82" s="445">
        <v>2300</v>
      </c>
      <c r="M82" s="445"/>
      <c r="N82" s="446">
        <f t="shared" si="32"/>
        <v>0.81585</v>
      </c>
      <c r="O82" s="446">
        <f aca="true" t="shared" si="38" ref="O82:P85">I82/1000*$AF$3</f>
        <v>7.056000000000001</v>
      </c>
      <c r="P82" s="446">
        <f t="shared" si="38"/>
        <v>5.292</v>
      </c>
      <c r="Q82" s="446"/>
      <c r="R82" s="446"/>
      <c r="S82" s="446">
        <f>(K82+L82)/1000*$AF$3</f>
        <v>8.5995</v>
      </c>
      <c r="T82" s="446"/>
      <c r="U82" s="446"/>
      <c r="V82" s="447">
        <f t="shared" si="33"/>
        <v>1.6082732762412145E-05</v>
      </c>
      <c r="W82" s="447">
        <f t="shared" si="34"/>
        <v>0.019902734009197915</v>
      </c>
      <c r="X82" s="447">
        <f t="shared" si="23"/>
        <v>0.006145071706754717</v>
      </c>
      <c r="Y82" s="447">
        <f t="shared" si="23"/>
        <v>9.234530528827255E-07</v>
      </c>
      <c r="Z82" s="447"/>
      <c r="AA82" s="447">
        <f t="shared" si="29"/>
        <v>0.003726129318229718</v>
      </c>
      <c r="AB82" s="447"/>
      <c r="AC82" s="447">
        <f t="shared" si="35"/>
        <v>1.5304728578489128E-06</v>
      </c>
      <c r="AD82" s="448" t="s">
        <v>22</v>
      </c>
      <c r="AE82" s="449">
        <f t="shared" si="36"/>
        <v>0.008064516129032258</v>
      </c>
      <c r="AF82" s="447">
        <f t="shared" si="37"/>
        <v>0.029792471692855496</v>
      </c>
      <c r="AG82" s="590">
        <f>SUMPRODUCT(AE82:AE85,AF82:AF85)</f>
        <v>4.864497354453966</v>
      </c>
      <c r="AH82" s="450" t="s">
        <v>22</v>
      </c>
      <c r="AI82" s="443"/>
      <c r="AJ82" s="451"/>
      <c r="AK82" s="596"/>
      <c r="AL82" s="21"/>
    </row>
    <row r="83" spans="1:38" ht="12.75">
      <c r="A83" s="462">
        <v>19</v>
      </c>
      <c r="B83" s="463" t="s">
        <v>38</v>
      </c>
      <c r="C83" s="462"/>
      <c r="D83" s="452" t="s">
        <v>23</v>
      </c>
      <c r="E83" s="453">
        <v>31</v>
      </c>
      <c r="F83" s="454">
        <f>IF(E83=0,0,E83/SUM(E82:E85))</f>
        <v>0.25</v>
      </c>
      <c r="G83" s="445">
        <f t="shared" si="31"/>
        <v>28510</v>
      </c>
      <c r="H83" s="445">
        <v>4716</v>
      </c>
      <c r="I83" s="445">
        <v>7545</v>
      </c>
      <c r="J83" s="445">
        <v>6484</v>
      </c>
      <c r="K83" s="445">
        <v>4684</v>
      </c>
      <c r="L83" s="445">
        <v>5081</v>
      </c>
      <c r="M83" s="445"/>
      <c r="N83" s="446">
        <f t="shared" si="32"/>
        <v>10.39878</v>
      </c>
      <c r="O83" s="446">
        <f t="shared" si="38"/>
        <v>16.636725000000002</v>
      </c>
      <c r="P83" s="446">
        <f t="shared" si="38"/>
        <v>14.297220000000001</v>
      </c>
      <c r="Q83" s="446"/>
      <c r="R83" s="446"/>
      <c r="S83" s="446">
        <f>(K83+L83)/1000*$AF$3</f>
        <v>21.531825</v>
      </c>
      <c r="T83" s="446"/>
      <c r="U83" s="446"/>
      <c r="V83" s="447">
        <f t="shared" si="33"/>
        <v>0.10172173066888524</v>
      </c>
      <c r="W83" s="447">
        <f t="shared" si="34"/>
        <v>0.7272408441475348</v>
      </c>
      <c r="X83" s="447">
        <f t="shared" si="23"/>
        <v>0.3892625096042081</v>
      </c>
      <c r="Y83" s="447">
        <f t="shared" si="23"/>
        <v>9.234530528827255E-07</v>
      </c>
      <c r="Z83" s="447"/>
      <c r="AA83" s="447">
        <f t="shared" si="29"/>
        <v>0.1620672377852619</v>
      </c>
      <c r="AB83" s="447"/>
      <c r="AC83" s="447">
        <f t="shared" si="35"/>
        <v>1.5304728578489128E-06</v>
      </c>
      <c r="AD83" s="448" t="s">
        <v>23</v>
      </c>
      <c r="AE83" s="449">
        <f t="shared" si="36"/>
        <v>0.25</v>
      </c>
      <c r="AF83" s="447">
        <f t="shared" si="37"/>
        <v>1.3802947761318007</v>
      </c>
      <c r="AG83" s="591"/>
      <c r="AH83" s="455" t="s">
        <v>23</v>
      </c>
      <c r="AI83" s="453"/>
      <c r="AJ83" s="456"/>
      <c r="AK83" s="597"/>
      <c r="AL83" s="21"/>
    </row>
    <row r="84" spans="1:38" ht="12.75">
      <c r="A84" s="462"/>
      <c r="B84" s="462"/>
      <c r="C84" s="462"/>
      <c r="D84" s="452" t="s">
        <v>24</v>
      </c>
      <c r="E84" s="453">
        <v>72</v>
      </c>
      <c r="F84" s="454">
        <f>IF(E84=0,0,E84/SUM(E82:E85))</f>
        <v>0.5806451612903226</v>
      </c>
      <c r="G84" s="445">
        <f t="shared" si="31"/>
        <v>40497</v>
      </c>
      <c r="H84" s="445">
        <v>5768</v>
      </c>
      <c r="I84" s="445">
        <v>9629</v>
      </c>
      <c r="J84" s="445">
        <v>9514</v>
      </c>
      <c r="K84" s="445">
        <v>7482</v>
      </c>
      <c r="L84" s="445">
        <v>8104</v>
      </c>
      <c r="M84" s="445"/>
      <c r="N84" s="446">
        <f t="shared" si="32"/>
        <v>12.71844</v>
      </c>
      <c r="O84" s="446">
        <f t="shared" si="38"/>
        <v>21.231945</v>
      </c>
      <c r="P84" s="446">
        <f t="shared" si="38"/>
        <v>20.978369999999998</v>
      </c>
      <c r="Q84" s="446"/>
      <c r="R84" s="446"/>
      <c r="S84" s="446">
        <f>(K84+L84)/1000*$AF$3</f>
        <v>34.36713</v>
      </c>
      <c r="T84" s="446"/>
      <c r="U84" s="446"/>
      <c r="V84" s="447">
        <f t="shared" si="33"/>
        <v>0.2383776950287457</v>
      </c>
      <c r="W84" s="447">
        <f t="shared" si="34"/>
        <v>1.9186517267582115</v>
      </c>
      <c r="X84" s="447">
        <f t="shared" si="23"/>
        <v>1.8312563827374595</v>
      </c>
      <c r="Y84" s="447">
        <f t="shared" si="23"/>
        <v>9.234530528827255E-07</v>
      </c>
      <c r="Z84" s="447"/>
      <c r="AA84" s="447">
        <f t="shared" si="29"/>
        <v>1.140732573087441</v>
      </c>
      <c r="AB84" s="447"/>
      <c r="AC84" s="447">
        <f t="shared" si="35"/>
        <v>1.5304728578489128E-06</v>
      </c>
      <c r="AD84" s="448" t="s">
        <v>24</v>
      </c>
      <c r="AE84" s="449">
        <f t="shared" si="36"/>
        <v>0.5806451612903226</v>
      </c>
      <c r="AF84" s="447">
        <f t="shared" si="37"/>
        <v>5.129020831537767</v>
      </c>
      <c r="AG84" s="591"/>
      <c r="AH84" s="455" t="s">
        <v>24</v>
      </c>
      <c r="AI84" s="453"/>
      <c r="AJ84" s="456"/>
      <c r="AK84" s="597"/>
      <c r="AL84" s="21"/>
    </row>
    <row r="85" spans="1:38" ht="12.75">
      <c r="A85" s="468"/>
      <c r="B85" s="468"/>
      <c r="C85" s="468"/>
      <c r="D85" s="457" t="s">
        <v>25</v>
      </c>
      <c r="E85" s="458">
        <v>20</v>
      </c>
      <c r="F85" s="459">
        <f>IF(E85=0,0,E85/SUM(E82:E85))</f>
        <v>0.16129032258064516</v>
      </c>
      <c r="G85" s="445">
        <f t="shared" si="31"/>
        <v>47845</v>
      </c>
      <c r="H85" s="445">
        <v>5960</v>
      </c>
      <c r="I85" s="445">
        <v>11340</v>
      </c>
      <c r="J85" s="445">
        <v>10345</v>
      </c>
      <c r="K85" s="445">
        <v>9655</v>
      </c>
      <c r="L85" s="445">
        <v>10545</v>
      </c>
      <c r="M85" s="445"/>
      <c r="N85" s="446">
        <f t="shared" si="32"/>
        <v>13.1418</v>
      </c>
      <c r="O85" s="446">
        <f t="shared" si="38"/>
        <v>25.0047</v>
      </c>
      <c r="P85" s="446">
        <f t="shared" si="38"/>
        <v>22.810725</v>
      </c>
      <c r="Q85" s="446"/>
      <c r="R85" s="446"/>
      <c r="S85" s="446">
        <f>(K85+L85)/1000*$AF$3</f>
        <v>44.541</v>
      </c>
      <c r="T85" s="446"/>
      <c r="U85" s="446"/>
      <c r="V85" s="447">
        <f t="shared" si="33"/>
        <v>0.2735802172370364</v>
      </c>
      <c r="W85" s="447">
        <f t="shared" si="34"/>
        <v>3.580198854056485</v>
      </c>
      <c r="X85" s="447">
        <f t="shared" si="23"/>
        <v>2.5281968838867233</v>
      </c>
      <c r="Y85" s="447">
        <f t="shared" si="23"/>
        <v>9.234530528827255E-07</v>
      </c>
      <c r="Z85" s="447"/>
      <c r="AA85" s="447">
        <f t="shared" si="29"/>
        <v>3.1724836683835336</v>
      </c>
      <c r="AB85" s="447"/>
      <c r="AC85" s="447">
        <f t="shared" si="35"/>
        <v>1.5304728578489128E-06</v>
      </c>
      <c r="AD85" s="448" t="s">
        <v>25</v>
      </c>
      <c r="AE85" s="449">
        <f t="shared" si="36"/>
        <v>0.16129032258064516</v>
      </c>
      <c r="AF85" s="447">
        <f t="shared" si="37"/>
        <v>9.554462077489688</v>
      </c>
      <c r="AG85" s="592"/>
      <c r="AH85" s="460" t="s">
        <v>25</v>
      </c>
      <c r="AI85" s="458"/>
      <c r="AJ85" s="461"/>
      <c r="AK85" s="598"/>
      <c r="AL85" s="21"/>
    </row>
    <row r="86" spans="1:38" ht="12.75">
      <c r="A86" s="404"/>
      <c r="B86" s="404"/>
      <c r="C86" s="406"/>
      <c r="D86" s="1" t="s">
        <v>22</v>
      </c>
      <c r="E86" s="4">
        <v>58</v>
      </c>
      <c r="F86" s="13">
        <f>IF(E86=0,0,E86/SUM(E86:E89))</f>
        <v>0.056640625</v>
      </c>
      <c r="G86" s="431">
        <f t="shared" si="31"/>
        <v>16330</v>
      </c>
      <c r="H86" s="441">
        <v>4384</v>
      </c>
      <c r="I86" s="441">
        <v>3086</v>
      </c>
      <c r="J86" s="441">
        <v>2900</v>
      </c>
      <c r="K86" s="441">
        <v>2862</v>
      </c>
      <c r="L86" s="441">
        <v>3098</v>
      </c>
      <c r="M86" s="441"/>
      <c r="N86" s="432">
        <f t="shared" si="32"/>
        <v>9.666720000000002</v>
      </c>
      <c r="O86" s="432"/>
      <c r="P86" s="432"/>
      <c r="Q86" s="446">
        <f aca="true" t="shared" si="39" ref="Q86:R89">K86/1000*$AF$3</f>
        <v>6.31071</v>
      </c>
      <c r="R86" s="446">
        <f t="shared" si="39"/>
        <v>6.83109</v>
      </c>
      <c r="S86" s="432">
        <f t="shared" si="26"/>
        <v>13.19913</v>
      </c>
      <c r="T86" s="432"/>
      <c r="U86" s="432"/>
      <c r="V86" s="433">
        <f t="shared" si="33"/>
        <v>0.07466717249036037</v>
      </c>
      <c r="W86" s="433">
        <f t="shared" si="34"/>
        <v>9.234530528827255E-07</v>
      </c>
      <c r="X86" s="433">
        <f t="shared" si="23"/>
        <v>9.234530528827255E-07</v>
      </c>
      <c r="Y86" s="433">
        <f t="shared" si="23"/>
        <v>0.012554078514810454</v>
      </c>
      <c r="Z86" s="433"/>
      <c r="AA86" s="433">
        <f t="shared" si="29"/>
        <v>0.020757282202491296</v>
      </c>
      <c r="AB86" s="433"/>
      <c r="AC86" s="433">
        <f t="shared" si="35"/>
        <v>1.5304728578489128E-06</v>
      </c>
      <c r="AD86" s="430" t="s">
        <v>22</v>
      </c>
      <c r="AE86" s="434">
        <f t="shared" si="36"/>
        <v>0.056640625</v>
      </c>
      <c r="AF86" s="433">
        <f t="shared" si="37"/>
        <v>0.10798191058662575</v>
      </c>
      <c r="AG86" s="605">
        <f>SUMPRODUCT(AE86:AE89,AF86:AF89)</f>
        <v>3.873016479226621</v>
      </c>
      <c r="AH86" s="137" t="s">
        <v>22</v>
      </c>
      <c r="AI86" s="23"/>
      <c r="AJ86" s="27"/>
      <c r="AK86" s="587"/>
      <c r="AL86" s="21"/>
    </row>
    <row r="87" spans="1:38" ht="12.75">
      <c r="A87" s="404">
        <v>20</v>
      </c>
      <c r="B87" s="428" t="s">
        <v>39</v>
      </c>
      <c r="C87" s="406"/>
      <c r="D87" s="2" t="s">
        <v>23</v>
      </c>
      <c r="E87" s="5">
        <v>137</v>
      </c>
      <c r="F87" s="14">
        <f>IF(E87=0,0,E87/SUM(E86:E89))</f>
        <v>0.1337890625</v>
      </c>
      <c r="G87" s="431">
        <f t="shared" si="31"/>
        <v>29488</v>
      </c>
      <c r="H87" s="441">
        <v>5037</v>
      </c>
      <c r="I87" s="441">
        <v>5816</v>
      </c>
      <c r="J87" s="441">
        <v>5471</v>
      </c>
      <c r="K87" s="441">
        <v>6582</v>
      </c>
      <c r="L87" s="441">
        <v>6582</v>
      </c>
      <c r="M87" s="441"/>
      <c r="N87" s="432">
        <f t="shared" si="32"/>
        <v>11.106585</v>
      </c>
      <c r="O87" s="432"/>
      <c r="P87" s="432"/>
      <c r="Q87" s="446">
        <f t="shared" si="39"/>
        <v>14.51331</v>
      </c>
      <c r="R87" s="446">
        <f t="shared" si="39"/>
        <v>14.51331</v>
      </c>
      <c r="S87" s="432">
        <f t="shared" si="26"/>
        <v>24.887835000000003</v>
      </c>
      <c r="T87" s="432"/>
      <c r="U87" s="432"/>
      <c r="V87" s="433">
        <f t="shared" si="33"/>
        <v>0.13445461791050364</v>
      </c>
      <c r="W87" s="433">
        <f t="shared" si="34"/>
        <v>9.234530528827255E-07</v>
      </c>
      <c r="X87" s="433">
        <f t="shared" si="23"/>
        <v>9.234530528827255E-07</v>
      </c>
      <c r="Y87" s="433">
        <f t="shared" si="23"/>
        <v>0.4143479379817774</v>
      </c>
      <c r="Z87" s="433"/>
      <c r="AA87" s="433">
        <f t="shared" si="29"/>
        <v>0.2990623407900992</v>
      </c>
      <c r="AB87" s="433"/>
      <c r="AC87" s="433">
        <f t="shared" si="35"/>
        <v>1.5304728578489128E-06</v>
      </c>
      <c r="AD87" s="430" t="s">
        <v>23</v>
      </c>
      <c r="AE87" s="434">
        <f t="shared" si="36"/>
        <v>0.1337890625</v>
      </c>
      <c r="AF87" s="433">
        <f t="shared" si="37"/>
        <v>0.8478682740613439</v>
      </c>
      <c r="AG87" s="606"/>
      <c r="AH87" s="138" t="s">
        <v>23</v>
      </c>
      <c r="AI87" s="29"/>
      <c r="AJ87" s="33"/>
      <c r="AK87" s="588"/>
      <c r="AL87" s="21"/>
    </row>
    <row r="88" spans="1:38" ht="12.75">
      <c r="A88" s="404"/>
      <c r="B88" s="404"/>
      <c r="C88" s="406"/>
      <c r="D88" s="2" t="s">
        <v>24</v>
      </c>
      <c r="E88" s="5">
        <v>540</v>
      </c>
      <c r="F88" s="14">
        <f>IF(E88=0,0,E88/SUM(E86:E89))</f>
        <v>0.52734375</v>
      </c>
      <c r="G88" s="431">
        <f t="shared" si="31"/>
        <v>41498</v>
      </c>
      <c r="H88" s="441">
        <v>5784</v>
      </c>
      <c r="I88" s="441">
        <v>8041</v>
      </c>
      <c r="J88" s="441">
        <v>7962</v>
      </c>
      <c r="K88" s="441">
        <v>9908</v>
      </c>
      <c r="L88" s="441">
        <v>9803</v>
      </c>
      <c r="M88" s="441"/>
      <c r="N88" s="432">
        <f t="shared" si="32"/>
        <v>12.75372</v>
      </c>
      <c r="O88" s="432"/>
      <c r="P88" s="432"/>
      <c r="Q88" s="446">
        <f t="shared" si="39"/>
        <v>21.84714</v>
      </c>
      <c r="R88" s="446">
        <f t="shared" si="39"/>
        <v>21.615615000000002</v>
      </c>
      <c r="S88" s="432">
        <f t="shared" si="26"/>
        <v>35.286615000000005</v>
      </c>
      <c r="T88" s="432"/>
      <c r="U88" s="432"/>
      <c r="V88" s="433">
        <f t="shared" si="33"/>
        <v>0.24117455014119715</v>
      </c>
      <c r="W88" s="433">
        <f t="shared" si="34"/>
        <v>9.234530528827255E-07</v>
      </c>
      <c r="X88" s="433">
        <f t="shared" si="23"/>
        <v>9.234530528827255E-07</v>
      </c>
      <c r="Y88" s="433">
        <f t="shared" si="23"/>
        <v>2.142506680357719</v>
      </c>
      <c r="Z88" s="433"/>
      <c r="AA88" s="433">
        <f t="shared" si="29"/>
        <v>1.2691764742347085</v>
      </c>
      <c r="AB88" s="433"/>
      <c r="AC88" s="433">
        <f t="shared" si="35"/>
        <v>1.5304728578489128E-06</v>
      </c>
      <c r="AD88" s="430" t="s">
        <v>24</v>
      </c>
      <c r="AE88" s="434">
        <f t="shared" si="36"/>
        <v>0.52734375</v>
      </c>
      <c r="AF88" s="433">
        <f t="shared" si="37"/>
        <v>3.6528610821125884</v>
      </c>
      <c r="AG88" s="606"/>
      <c r="AH88" s="138" t="s">
        <v>24</v>
      </c>
      <c r="AI88" s="29"/>
      <c r="AJ88" s="33"/>
      <c r="AK88" s="588"/>
      <c r="AL88" s="21"/>
    </row>
    <row r="89" spans="1:38" ht="12.75">
      <c r="A89" s="404"/>
      <c r="B89" s="404"/>
      <c r="C89" s="406"/>
      <c r="D89" s="3" t="s">
        <v>25</v>
      </c>
      <c r="E89" s="6">
        <v>289</v>
      </c>
      <c r="F89" s="15">
        <f>IF(E89=0,0,E89/SUM(E86:E89))</f>
        <v>0.2822265625</v>
      </c>
      <c r="G89" s="431">
        <f t="shared" si="31"/>
        <v>47743</v>
      </c>
      <c r="H89" s="441">
        <v>6487</v>
      </c>
      <c r="I89" s="441">
        <v>9552</v>
      </c>
      <c r="J89" s="441">
        <v>8919</v>
      </c>
      <c r="K89" s="441">
        <v>11554</v>
      </c>
      <c r="L89" s="441">
        <v>11231</v>
      </c>
      <c r="M89" s="441"/>
      <c r="N89" s="432">
        <f t="shared" si="32"/>
        <v>14.303835000000001</v>
      </c>
      <c r="O89" s="432"/>
      <c r="P89" s="432"/>
      <c r="Q89" s="446">
        <f t="shared" si="39"/>
        <v>25.476570000000002</v>
      </c>
      <c r="R89" s="446">
        <f t="shared" si="39"/>
        <v>24.764355000000002</v>
      </c>
      <c r="S89" s="432">
        <f t="shared" si="26"/>
        <v>40.728555</v>
      </c>
      <c r="T89" s="432"/>
      <c r="U89" s="432"/>
      <c r="V89" s="433">
        <f t="shared" si="33"/>
        <v>0.39001349992108375</v>
      </c>
      <c r="W89" s="433">
        <f t="shared" si="34"/>
        <v>9.234530528827255E-07</v>
      </c>
      <c r="X89" s="433">
        <f t="shared" si="23"/>
        <v>9.234530528827255E-07</v>
      </c>
      <c r="Y89" s="433">
        <f t="shared" si="23"/>
        <v>3.8407254312685715</v>
      </c>
      <c r="Z89" s="433"/>
      <c r="AA89" s="433">
        <f t="shared" si="29"/>
        <v>2.2433164666107364</v>
      </c>
      <c r="AB89" s="433"/>
      <c r="AC89" s="433">
        <f t="shared" si="35"/>
        <v>1.5304728578489128E-06</v>
      </c>
      <c r="AD89" s="430" t="s">
        <v>25</v>
      </c>
      <c r="AE89" s="434">
        <f t="shared" si="36"/>
        <v>0.2822265625</v>
      </c>
      <c r="AF89" s="433">
        <f t="shared" si="37"/>
        <v>6.474058775179355</v>
      </c>
      <c r="AG89" s="607"/>
      <c r="AH89" s="139" t="s">
        <v>25</v>
      </c>
      <c r="AI89" s="35"/>
      <c r="AJ89" s="39"/>
      <c r="AK89" s="589"/>
      <c r="AL89" s="21"/>
    </row>
    <row r="90" spans="1:38" ht="12.75">
      <c r="A90" s="469"/>
      <c r="B90" s="465"/>
      <c r="C90" s="465"/>
      <c r="D90" s="442" t="s">
        <v>22</v>
      </c>
      <c r="E90" s="443">
        <v>15</v>
      </c>
      <c r="F90" s="444">
        <f>IF(E90=0,0,E90/SUM(E90:E93))</f>
        <v>0.013380909901873328</v>
      </c>
      <c r="G90" s="445">
        <f t="shared" si="31"/>
        <v>16253</v>
      </c>
      <c r="H90" s="445">
        <v>3840</v>
      </c>
      <c r="I90" s="445">
        <v>2773</v>
      </c>
      <c r="J90" s="445">
        <v>2647</v>
      </c>
      <c r="K90" s="445">
        <v>2440</v>
      </c>
      <c r="L90" s="445">
        <v>2260</v>
      </c>
      <c r="M90" s="445">
        <v>2293</v>
      </c>
      <c r="N90" s="446">
        <f t="shared" si="32"/>
        <v>8.4672</v>
      </c>
      <c r="O90" s="432"/>
      <c r="P90" s="432"/>
      <c r="Q90" s="446"/>
      <c r="R90" s="446"/>
      <c r="S90" s="446">
        <f t="shared" si="26"/>
        <v>11.9511</v>
      </c>
      <c r="T90" s="446"/>
      <c r="U90" s="446">
        <f>(M90+K90+L90)/1000*$AF$3</f>
        <v>15.419565</v>
      </c>
      <c r="V90" s="447">
        <f t="shared" si="33"/>
        <v>0.04267157891570947</v>
      </c>
      <c r="W90" s="447">
        <f t="shared" si="34"/>
        <v>9.234530528827255E-07</v>
      </c>
      <c r="X90" s="447">
        <f t="shared" si="23"/>
        <v>9.234530528827255E-07</v>
      </c>
      <c r="Y90" s="447">
        <f t="shared" si="23"/>
        <v>9.234530528827255E-07</v>
      </c>
      <c r="Z90" s="447"/>
      <c r="AA90" s="447">
        <f t="shared" si="29"/>
        <v>0.013813090658268783</v>
      </c>
      <c r="AB90" s="447"/>
      <c r="AC90" s="447">
        <f t="shared" si="35"/>
        <v>0.009062567147793292</v>
      </c>
      <c r="AD90" s="448" t="s">
        <v>22</v>
      </c>
      <c r="AE90" s="449">
        <f t="shared" si="36"/>
        <v>0.013380909901873328</v>
      </c>
      <c r="AF90" s="447">
        <f t="shared" si="37"/>
        <v>0.06555000708093017</v>
      </c>
      <c r="AG90" s="590">
        <f>SUMPRODUCT(AE90:AE93,AF90:AF93)</f>
        <v>2.291675097151241</v>
      </c>
      <c r="AH90" s="450" t="s">
        <v>22</v>
      </c>
      <c r="AI90" s="443"/>
      <c r="AJ90" s="451"/>
      <c r="AK90" s="596"/>
      <c r="AL90" s="21"/>
    </row>
    <row r="91" spans="1:38" ht="12.75">
      <c r="A91" s="475">
        <v>21</v>
      </c>
      <c r="B91" s="476" t="s">
        <v>40</v>
      </c>
      <c r="C91" s="462"/>
      <c r="D91" s="452" t="s">
        <v>23</v>
      </c>
      <c r="E91" s="453">
        <v>163</v>
      </c>
      <c r="F91" s="454">
        <f>IF(E91=0,0,E91/SUM(E90:E93))</f>
        <v>0.14540588760035683</v>
      </c>
      <c r="G91" s="445">
        <f t="shared" si="31"/>
        <v>30661</v>
      </c>
      <c r="H91" s="445">
        <v>4864</v>
      </c>
      <c r="I91" s="445">
        <v>5621</v>
      </c>
      <c r="J91" s="445">
        <v>5381</v>
      </c>
      <c r="K91" s="445">
        <v>5126</v>
      </c>
      <c r="L91" s="445">
        <v>4922</v>
      </c>
      <c r="M91" s="445">
        <v>4747</v>
      </c>
      <c r="N91" s="446">
        <f t="shared" si="32"/>
        <v>10.72512</v>
      </c>
      <c r="O91" s="432"/>
      <c r="P91" s="432"/>
      <c r="Q91" s="446"/>
      <c r="R91" s="446"/>
      <c r="S91" s="446">
        <f t="shared" si="26"/>
        <v>24.259410000000003</v>
      </c>
      <c r="T91" s="446"/>
      <c r="U91" s="446">
        <f>(M91+K91+L91)/1000*$AF$3</f>
        <v>32.622975000000004</v>
      </c>
      <c r="V91" s="447">
        <f t="shared" si="33"/>
        <v>0.11595148810128104</v>
      </c>
      <c r="W91" s="447">
        <f t="shared" si="34"/>
        <v>9.234530528827255E-07</v>
      </c>
      <c r="X91" s="447">
        <f t="shared" si="23"/>
        <v>9.234530528827255E-07</v>
      </c>
      <c r="Y91" s="447">
        <f t="shared" si="23"/>
        <v>9.234530528827255E-07</v>
      </c>
      <c r="Z91" s="447"/>
      <c r="AA91" s="447">
        <f t="shared" si="29"/>
        <v>0.2684664510953734</v>
      </c>
      <c r="AB91" s="447"/>
      <c r="AC91" s="447">
        <f t="shared" si="35"/>
        <v>0.2037557163022395</v>
      </c>
      <c r="AD91" s="448" t="s">
        <v>23</v>
      </c>
      <c r="AE91" s="449">
        <f t="shared" si="36"/>
        <v>0.14540588760035683</v>
      </c>
      <c r="AF91" s="447">
        <f t="shared" si="37"/>
        <v>0.5881764258580526</v>
      </c>
      <c r="AG91" s="591"/>
      <c r="AH91" s="455" t="s">
        <v>23</v>
      </c>
      <c r="AI91" s="453"/>
      <c r="AJ91" s="456"/>
      <c r="AK91" s="597"/>
      <c r="AL91" s="21"/>
    </row>
    <row r="92" spans="1:38" ht="12.75">
      <c r="A92" s="466"/>
      <c r="B92" s="462"/>
      <c r="C92" s="462"/>
      <c r="D92" s="452" t="s">
        <v>24</v>
      </c>
      <c r="E92" s="453">
        <v>588</v>
      </c>
      <c r="F92" s="454">
        <f>IF(E92=0,0,E92/SUM(E90:E93))</f>
        <v>0.5245316681534344</v>
      </c>
      <c r="G92" s="445">
        <f t="shared" si="31"/>
        <v>41448</v>
      </c>
      <c r="H92" s="445">
        <v>5449</v>
      </c>
      <c r="I92" s="445">
        <v>7303</v>
      </c>
      <c r="J92" s="445">
        <v>7262</v>
      </c>
      <c r="K92" s="445">
        <v>6979</v>
      </c>
      <c r="L92" s="445">
        <v>7263</v>
      </c>
      <c r="M92" s="445">
        <v>7192</v>
      </c>
      <c r="N92" s="446">
        <f t="shared" si="32"/>
        <v>12.015045</v>
      </c>
      <c r="O92" s="432"/>
      <c r="P92" s="432"/>
      <c r="Q92" s="446"/>
      <c r="R92" s="446"/>
      <c r="S92" s="446">
        <f t="shared" si="26"/>
        <v>32.115825</v>
      </c>
      <c r="T92" s="446"/>
      <c r="U92" s="446">
        <f>(M92+K92+L92)/1000*$AF$3</f>
        <v>47.261970000000005</v>
      </c>
      <c r="V92" s="447">
        <f t="shared" si="33"/>
        <v>0.1875141194472036</v>
      </c>
      <c r="W92" s="447">
        <f t="shared" si="34"/>
        <v>9.234530528827255E-07</v>
      </c>
      <c r="X92" s="447">
        <f t="shared" si="23"/>
        <v>9.234530528827255E-07</v>
      </c>
      <c r="Y92" s="447">
        <f t="shared" si="23"/>
        <v>9.234530528827255E-07</v>
      </c>
      <c r="Z92" s="447"/>
      <c r="AA92" s="447">
        <f t="shared" si="29"/>
        <v>0.8654592818510607</v>
      </c>
      <c r="AB92" s="447"/>
      <c r="AC92" s="447">
        <f t="shared" si="35"/>
        <v>0.9641666490297739</v>
      </c>
      <c r="AD92" s="448" t="s">
        <v>24</v>
      </c>
      <c r="AE92" s="449">
        <f t="shared" si="36"/>
        <v>0.5245316681534344</v>
      </c>
      <c r="AF92" s="447">
        <f t="shared" si="37"/>
        <v>2.0171428206871966</v>
      </c>
      <c r="AG92" s="591"/>
      <c r="AH92" s="455" t="s">
        <v>24</v>
      </c>
      <c r="AI92" s="453"/>
      <c r="AJ92" s="456"/>
      <c r="AK92" s="597"/>
      <c r="AL92" s="21"/>
    </row>
    <row r="93" spans="1:38" ht="12.75">
      <c r="A93" s="470"/>
      <c r="B93" s="468"/>
      <c r="C93" s="468"/>
      <c r="D93" s="457" t="s">
        <v>25</v>
      </c>
      <c r="E93" s="458">
        <v>355</v>
      </c>
      <c r="F93" s="459">
        <f>IF(E93=0,0,E93/SUM(E90:E93))</f>
        <v>0.31668153434433544</v>
      </c>
      <c r="G93" s="445">
        <f t="shared" si="31"/>
        <v>47715</v>
      </c>
      <c r="H93" s="445">
        <v>5963</v>
      </c>
      <c r="I93" s="445">
        <v>8791</v>
      </c>
      <c r="J93" s="445">
        <v>8226</v>
      </c>
      <c r="K93" s="445">
        <v>8105</v>
      </c>
      <c r="L93" s="445">
        <v>8411</v>
      </c>
      <c r="M93" s="445">
        <v>8219</v>
      </c>
      <c r="N93" s="446">
        <f t="shared" si="32"/>
        <v>13.148415</v>
      </c>
      <c r="O93" s="432"/>
      <c r="P93" s="432"/>
      <c r="Q93" s="446"/>
      <c r="R93" s="446"/>
      <c r="S93" s="446">
        <f t="shared" si="26"/>
        <v>37.522485</v>
      </c>
      <c r="T93" s="446"/>
      <c r="U93" s="446">
        <f>(M93+K93+L93)/1000*$AF$3</f>
        <v>54.540675</v>
      </c>
      <c r="V93" s="447">
        <f t="shared" si="33"/>
        <v>0.2741592083626988</v>
      </c>
      <c r="W93" s="447">
        <f t="shared" si="34"/>
        <v>9.234530528827255E-07</v>
      </c>
      <c r="X93" s="447">
        <f t="shared" si="23"/>
        <v>9.234530528827255E-07</v>
      </c>
      <c r="Y93" s="447">
        <f t="shared" si="23"/>
        <v>9.234530528827255E-07</v>
      </c>
      <c r="Z93" s="447"/>
      <c r="AA93" s="447">
        <f t="shared" si="29"/>
        <v>1.6233185757740805</v>
      </c>
      <c r="AB93" s="447"/>
      <c r="AC93" s="447">
        <f t="shared" si="35"/>
        <v>1.7251442280995355</v>
      </c>
      <c r="AD93" s="448" t="s">
        <v>25</v>
      </c>
      <c r="AE93" s="449">
        <f t="shared" si="36"/>
        <v>0.31668153434433544</v>
      </c>
      <c r="AF93" s="447">
        <f t="shared" si="37"/>
        <v>3.6226247825954734</v>
      </c>
      <c r="AG93" s="592"/>
      <c r="AH93" s="460" t="s">
        <v>25</v>
      </c>
      <c r="AI93" s="458"/>
      <c r="AJ93" s="461"/>
      <c r="AK93" s="598"/>
      <c r="AL93" s="21"/>
    </row>
    <row r="94" spans="1:38" ht="12.75">
      <c r="A94" s="404"/>
      <c r="B94" s="404"/>
      <c r="C94" s="406"/>
      <c r="D94" s="1" t="s">
        <v>22</v>
      </c>
      <c r="E94" s="4">
        <v>175</v>
      </c>
      <c r="F94" s="13">
        <f>IF(E94=0,0,E94/SUM(E94:E97))</f>
        <v>0.0654940119760479</v>
      </c>
      <c r="G94" s="431">
        <f t="shared" si="31"/>
        <v>15743</v>
      </c>
      <c r="H94" s="441">
        <v>4087</v>
      </c>
      <c r="I94" s="441">
        <v>4193</v>
      </c>
      <c r="J94" s="441">
        <v>2962</v>
      </c>
      <c r="K94" s="441">
        <v>2015</v>
      </c>
      <c r="L94" s="441">
        <v>2486</v>
      </c>
      <c r="M94" s="441"/>
      <c r="N94" s="432">
        <f t="shared" si="32"/>
        <v>9.011835</v>
      </c>
      <c r="O94" s="432">
        <f aca="true" t="shared" si="40" ref="O94:P97">I94/1000*$AF$3</f>
        <v>9.245565</v>
      </c>
      <c r="P94" s="432">
        <f t="shared" si="40"/>
        <v>6.531210000000001</v>
      </c>
      <c r="Q94" s="446"/>
      <c r="R94" s="446"/>
      <c r="S94" s="432">
        <f>(K94+L94)/1000*$AF$3</f>
        <v>9.924705000000001</v>
      </c>
      <c r="T94" s="432"/>
      <c r="U94" s="432"/>
      <c r="V94" s="433">
        <f t="shared" si="33"/>
        <v>0.05550146246123994</v>
      </c>
      <c r="W94" s="433">
        <f t="shared" si="34"/>
        <v>0.061843007130419486</v>
      </c>
      <c r="X94" s="433">
        <f t="shared" si="23"/>
        <v>0.014457797592560015</v>
      </c>
      <c r="Y94" s="433">
        <f t="shared" si="23"/>
        <v>9.234530528827255E-07</v>
      </c>
      <c r="Z94" s="433"/>
      <c r="AA94" s="433">
        <f t="shared" si="29"/>
        <v>0.006538894035040244</v>
      </c>
      <c r="AB94" s="433"/>
      <c r="AC94" s="433">
        <f t="shared" si="35"/>
        <v>1.5304728578489128E-06</v>
      </c>
      <c r="AD94" s="430" t="s">
        <v>22</v>
      </c>
      <c r="AE94" s="434">
        <f t="shared" si="36"/>
        <v>0.0654940119760479</v>
      </c>
      <c r="AF94" s="433">
        <f t="shared" si="37"/>
        <v>0.1383436151451704</v>
      </c>
      <c r="AG94" s="605">
        <f>SUMPRODUCT(AE94:AE97,AF94:AF97)</f>
        <v>4.83853138723542</v>
      </c>
      <c r="AH94" s="137" t="s">
        <v>22</v>
      </c>
      <c r="AI94" s="23"/>
      <c r="AJ94" s="27"/>
      <c r="AK94" s="587"/>
      <c r="AL94" s="21"/>
    </row>
    <row r="95" spans="1:38" ht="12.75">
      <c r="A95" s="404">
        <v>22</v>
      </c>
      <c r="B95" s="428" t="s">
        <v>41</v>
      </c>
      <c r="C95" s="406"/>
      <c r="D95" s="2" t="s">
        <v>23</v>
      </c>
      <c r="E95" s="5">
        <v>642</v>
      </c>
      <c r="F95" s="14">
        <f>IF(E95=0,0,E95/SUM(E94:E97))</f>
        <v>0.2402694610778443</v>
      </c>
      <c r="G95" s="431">
        <f t="shared" si="31"/>
        <v>30246</v>
      </c>
      <c r="H95" s="441">
        <v>5358</v>
      </c>
      <c r="I95" s="441">
        <v>8383</v>
      </c>
      <c r="J95" s="441">
        <v>6370</v>
      </c>
      <c r="K95" s="441">
        <v>4585</v>
      </c>
      <c r="L95" s="441">
        <v>5550</v>
      </c>
      <c r="M95" s="441"/>
      <c r="N95" s="432">
        <f t="shared" si="32"/>
        <v>11.81439</v>
      </c>
      <c r="O95" s="432">
        <f t="shared" si="40"/>
        <v>18.484515</v>
      </c>
      <c r="P95" s="432">
        <f t="shared" si="40"/>
        <v>14.045850000000002</v>
      </c>
      <c r="Q95" s="446"/>
      <c r="R95" s="446"/>
      <c r="S95" s="432">
        <f>(K95+L95)/1000*$AF$3</f>
        <v>22.347675</v>
      </c>
      <c r="T95" s="432"/>
      <c r="U95" s="432"/>
      <c r="V95" s="433">
        <f t="shared" si="33"/>
        <v>0.17463140523388268</v>
      </c>
      <c r="W95" s="433">
        <f t="shared" si="34"/>
        <v>1.112353894181553</v>
      </c>
      <c r="X95" s="433">
        <f t="shared" si="23"/>
        <v>0.3615022145054747</v>
      </c>
      <c r="Y95" s="433">
        <f t="shared" si="23"/>
        <v>9.234530528827255E-07</v>
      </c>
      <c r="Z95" s="433"/>
      <c r="AA95" s="433">
        <f t="shared" si="29"/>
        <v>0.18971972170846665</v>
      </c>
      <c r="AB95" s="433"/>
      <c r="AC95" s="433">
        <f t="shared" si="35"/>
        <v>1.5304728578489128E-06</v>
      </c>
      <c r="AD95" s="430" t="s">
        <v>23</v>
      </c>
      <c r="AE95" s="434">
        <f t="shared" si="36"/>
        <v>0.2402694610778443</v>
      </c>
      <c r="AF95" s="433">
        <f t="shared" si="37"/>
        <v>1.8382096895552877</v>
      </c>
      <c r="AG95" s="606"/>
      <c r="AH95" s="138" t="s">
        <v>23</v>
      </c>
      <c r="AI95" s="29"/>
      <c r="AJ95" s="33"/>
      <c r="AK95" s="588"/>
      <c r="AL95" s="21"/>
    </row>
    <row r="96" spans="1:38" ht="12.75">
      <c r="A96" s="404"/>
      <c r="B96" s="404"/>
      <c r="C96" s="406"/>
      <c r="D96" s="2" t="s">
        <v>24</v>
      </c>
      <c r="E96" s="5">
        <v>1386</v>
      </c>
      <c r="F96" s="14">
        <f>IF(E96=0,0,E96/SUM(E94:E97))</f>
        <v>0.5187125748502994</v>
      </c>
      <c r="G96" s="431">
        <f t="shared" si="31"/>
        <v>41339</v>
      </c>
      <c r="H96" s="441">
        <v>6013</v>
      </c>
      <c r="I96" s="441">
        <v>9868</v>
      </c>
      <c r="J96" s="441">
        <v>9410</v>
      </c>
      <c r="K96" s="441">
        <v>7424</v>
      </c>
      <c r="L96" s="441">
        <v>8624</v>
      </c>
      <c r="M96" s="441"/>
      <c r="N96" s="432">
        <f t="shared" si="32"/>
        <v>13.258665</v>
      </c>
      <c r="O96" s="432">
        <f t="shared" si="40"/>
        <v>21.758940000000003</v>
      </c>
      <c r="P96" s="432">
        <f t="shared" si="40"/>
        <v>20.74905</v>
      </c>
      <c r="Q96" s="446"/>
      <c r="R96" s="446"/>
      <c r="S96" s="432">
        <f>(K96+L96)/1000*$AF$3</f>
        <v>35.385839999999995</v>
      </c>
      <c r="T96" s="432"/>
      <c r="U96" s="432"/>
      <c r="V96" s="433">
        <f t="shared" si="33"/>
        <v>0.2839436608874019</v>
      </c>
      <c r="W96" s="433">
        <f t="shared" si="34"/>
        <v>2.109366325514897</v>
      </c>
      <c r="X96" s="433">
        <f t="shared" si="23"/>
        <v>1.7546115584973414</v>
      </c>
      <c r="Y96" s="433">
        <f t="shared" si="23"/>
        <v>9.234530528827255E-07</v>
      </c>
      <c r="Z96" s="433"/>
      <c r="AA96" s="433">
        <f t="shared" si="29"/>
        <v>1.2836192088928953</v>
      </c>
      <c r="AB96" s="433"/>
      <c r="AC96" s="433">
        <f t="shared" si="35"/>
        <v>1.5304728578489128E-06</v>
      </c>
      <c r="AD96" s="430" t="s">
        <v>24</v>
      </c>
      <c r="AE96" s="434">
        <f t="shared" si="36"/>
        <v>0.5187125748502994</v>
      </c>
      <c r="AF96" s="433">
        <f t="shared" si="37"/>
        <v>5.4315432077184465</v>
      </c>
      <c r="AG96" s="606"/>
      <c r="AH96" s="138" t="s">
        <v>24</v>
      </c>
      <c r="AI96" s="29"/>
      <c r="AJ96" s="33"/>
      <c r="AK96" s="588"/>
      <c r="AL96" s="21"/>
    </row>
    <row r="97" spans="1:38" ht="12.75">
      <c r="A97" s="404"/>
      <c r="B97" s="404"/>
      <c r="C97" s="406"/>
      <c r="D97" s="3" t="s">
        <v>25</v>
      </c>
      <c r="E97" s="6">
        <v>469</v>
      </c>
      <c r="F97" s="15">
        <f>IF(E97=0,0,E97/SUM(E94:E97))</f>
        <v>0.17552395209580837</v>
      </c>
      <c r="G97" s="431">
        <f t="shared" si="31"/>
        <v>47028</v>
      </c>
      <c r="H97" s="441">
        <v>6580</v>
      </c>
      <c r="I97" s="441">
        <v>10918</v>
      </c>
      <c r="J97" s="441">
        <v>10945</v>
      </c>
      <c r="K97" s="441">
        <v>8724</v>
      </c>
      <c r="L97" s="441">
        <v>9861</v>
      </c>
      <c r="M97" s="441"/>
      <c r="N97" s="432">
        <f t="shared" si="32"/>
        <v>14.5089</v>
      </c>
      <c r="O97" s="432">
        <f t="shared" si="40"/>
        <v>24.074189999999998</v>
      </c>
      <c r="P97" s="432">
        <f t="shared" si="40"/>
        <v>24.133725000000002</v>
      </c>
      <c r="Q97" s="446"/>
      <c r="R97" s="446"/>
      <c r="S97" s="432">
        <f>(K97+L97)/1000*$AF$3</f>
        <v>40.979925</v>
      </c>
      <c r="T97" s="432"/>
      <c r="U97" s="432"/>
      <c r="V97" s="433">
        <f t="shared" si="33"/>
        <v>0.4138244895321972</v>
      </c>
      <c r="W97" s="433">
        <f t="shared" si="34"/>
        <v>3.103021930888532</v>
      </c>
      <c r="X97" s="433">
        <f t="shared" si="23"/>
        <v>3.1321435623837486</v>
      </c>
      <c r="Y97" s="433">
        <f t="shared" si="23"/>
        <v>9.234530528827255E-07</v>
      </c>
      <c r="Z97" s="433"/>
      <c r="AA97" s="433">
        <f t="shared" si="29"/>
        <v>2.297907835018814</v>
      </c>
      <c r="AB97" s="433"/>
      <c r="AC97" s="433">
        <f t="shared" si="35"/>
        <v>1.5304728578489128E-06</v>
      </c>
      <c r="AD97" s="430" t="s">
        <v>25</v>
      </c>
      <c r="AE97" s="434">
        <f t="shared" si="36"/>
        <v>0.17552395209580837</v>
      </c>
      <c r="AF97" s="433">
        <f t="shared" si="37"/>
        <v>8.946900271749202</v>
      </c>
      <c r="AG97" s="607"/>
      <c r="AH97" s="139" t="s">
        <v>25</v>
      </c>
      <c r="AI97" s="35"/>
      <c r="AJ97" s="39"/>
      <c r="AK97" s="589"/>
      <c r="AL97" s="21"/>
    </row>
    <row r="98" spans="1:38" ht="12.75">
      <c r="A98" s="469"/>
      <c r="B98" s="465"/>
      <c r="C98" s="471"/>
      <c r="D98" s="442" t="s">
        <v>22</v>
      </c>
      <c r="E98" s="443">
        <v>22</v>
      </c>
      <c r="F98" s="444">
        <f>IF(E98=0,0,E98/SUM(E98:E101))</f>
        <v>0.01752988047808765</v>
      </c>
      <c r="G98" s="445">
        <f t="shared" si="31"/>
        <v>15790</v>
      </c>
      <c r="H98" s="445">
        <v>4191</v>
      </c>
      <c r="I98" s="445">
        <v>3350</v>
      </c>
      <c r="J98" s="445">
        <v>2977</v>
      </c>
      <c r="K98" s="445">
        <v>2777</v>
      </c>
      <c r="L98" s="445">
        <v>2495</v>
      </c>
      <c r="M98" s="445"/>
      <c r="N98" s="446">
        <f t="shared" si="32"/>
        <v>9.241155</v>
      </c>
      <c r="O98" s="446"/>
      <c r="P98" s="446"/>
      <c r="Q98" s="446">
        <f aca="true" t="shared" si="41" ref="Q98:R102">K98/1000*$AF$3</f>
        <v>6.123285</v>
      </c>
      <c r="R98" s="446">
        <f t="shared" si="41"/>
        <v>5.501475</v>
      </c>
      <c r="S98" s="446">
        <f t="shared" si="26"/>
        <v>13.951035000000001</v>
      </c>
      <c r="T98" s="446"/>
      <c r="U98" s="446"/>
      <c r="V98" s="447">
        <f t="shared" si="33"/>
        <v>0.06171840500008728</v>
      </c>
      <c r="W98" s="447">
        <f t="shared" si="34"/>
        <v>9.234530528827255E-07</v>
      </c>
      <c r="X98" s="447">
        <f t="shared" si="23"/>
        <v>9.234530528827255E-07</v>
      </c>
      <c r="Y98" s="447">
        <f t="shared" si="23"/>
        <v>0.011095740525065522</v>
      </c>
      <c r="Z98" s="447"/>
      <c r="AA98" s="447">
        <f t="shared" si="29"/>
        <v>0.026102013391634492</v>
      </c>
      <c r="AB98" s="447"/>
      <c r="AC98" s="447">
        <f t="shared" si="35"/>
        <v>1.5304728578489128E-06</v>
      </c>
      <c r="AD98" s="448" t="s">
        <v>22</v>
      </c>
      <c r="AE98" s="449">
        <f t="shared" si="36"/>
        <v>0.01752988047808765</v>
      </c>
      <c r="AF98" s="447">
        <f t="shared" si="37"/>
        <v>0.09891953629575091</v>
      </c>
      <c r="AG98" s="590">
        <f>SUMPRODUCT(AE98:AE101,AF98:AF101)</f>
        <v>3.157278087245556</v>
      </c>
      <c r="AH98" s="450" t="s">
        <v>22</v>
      </c>
      <c r="AI98" s="443"/>
      <c r="AJ98" s="451"/>
      <c r="AK98" s="596"/>
      <c r="AL98" s="21"/>
    </row>
    <row r="99" spans="1:38" ht="12.75">
      <c r="A99" s="466"/>
      <c r="B99" s="462"/>
      <c r="C99" s="464"/>
      <c r="D99" s="452" t="s">
        <v>23</v>
      </c>
      <c r="E99" s="453">
        <v>284</v>
      </c>
      <c r="F99" s="454">
        <f>IF(E99=0,0,E99/SUM(E98:E101))</f>
        <v>0.22629482071713147</v>
      </c>
      <c r="G99" s="445">
        <f t="shared" si="31"/>
        <v>29602</v>
      </c>
      <c r="H99" s="445">
        <v>5372</v>
      </c>
      <c r="I99" s="445">
        <v>6549</v>
      </c>
      <c r="J99" s="445">
        <v>6010</v>
      </c>
      <c r="K99" s="445">
        <v>5909</v>
      </c>
      <c r="L99" s="445">
        <v>5762</v>
      </c>
      <c r="M99" s="445"/>
      <c r="N99" s="446">
        <f t="shared" si="32"/>
        <v>11.84526</v>
      </c>
      <c r="O99" s="446"/>
      <c r="P99" s="446"/>
      <c r="Q99" s="446">
        <f t="shared" si="41"/>
        <v>13.029345</v>
      </c>
      <c r="R99" s="446">
        <f t="shared" si="41"/>
        <v>12.70521</v>
      </c>
      <c r="S99" s="446">
        <f t="shared" si="26"/>
        <v>27.692595</v>
      </c>
      <c r="T99" s="446"/>
      <c r="U99" s="446"/>
      <c r="V99" s="447">
        <f t="shared" si="33"/>
        <v>0.1765685776715876</v>
      </c>
      <c r="W99" s="447">
        <f t="shared" si="34"/>
        <v>9.234530528827255E-07</v>
      </c>
      <c r="X99" s="447">
        <f t="shared" si="23"/>
        <v>9.234530528827255E-07</v>
      </c>
      <c r="Y99" s="447">
        <f t="shared" si="23"/>
        <v>0.26387572699981227</v>
      </c>
      <c r="Z99" s="447"/>
      <c r="AA99" s="447">
        <f t="shared" si="29"/>
        <v>0.4683594295061793</v>
      </c>
      <c r="AB99" s="447"/>
      <c r="AC99" s="447">
        <f t="shared" si="35"/>
        <v>1.5304728578489128E-06</v>
      </c>
      <c r="AD99" s="448" t="s">
        <v>23</v>
      </c>
      <c r="AE99" s="449">
        <f t="shared" si="36"/>
        <v>0.22629482071713147</v>
      </c>
      <c r="AF99" s="447">
        <f t="shared" si="37"/>
        <v>0.9088071115565429</v>
      </c>
      <c r="AG99" s="591"/>
      <c r="AH99" s="455" t="s">
        <v>23</v>
      </c>
      <c r="AI99" s="453"/>
      <c r="AJ99" s="456"/>
      <c r="AK99" s="597"/>
      <c r="AL99" s="21"/>
    </row>
    <row r="100" spans="1:38" ht="12.75">
      <c r="A100" s="466">
        <v>23</v>
      </c>
      <c r="B100" s="463" t="s">
        <v>42</v>
      </c>
      <c r="C100" s="464"/>
      <c r="D100" s="452" t="s">
        <v>24</v>
      </c>
      <c r="E100" s="453">
        <v>700</v>
      </c>
      <c r="F100" s="454">
        <f>IF(E100=0,0,E100/SUM(E98:E101))</f>
        <v>0.5577689243027888</v>
      </c>
      <c r="G100" s="445">
        <f t="shared" si="31"/>
        <v>41218</v>
      </c>
      <c r="H100" s="445">
        <v>6066</v>
      </c>
      <c r="I100" s="445">
        <v>8300</v>
      </c>
      <c r="J100" s="445">
        <v>7847</v>
      </c>
      <c r="K100" s="445">
        <v>9322</v>
      </c>
      <c r="L100" s="445">
        <v>9683</v>
      </c>
      <c r="M100" s="445"/>
      <c r="N100" s="446">
        <f t="shared" si="32"/>
        <v>13.37553</v>
      </c>
      <c r="O100" s="446"/>
      <c r="P100" s="446"/>
      <c r="Q100" s="446">
        <f t="shared" si="41"/>
        <v>20.55501</v>
      </c>
      <c r="R100" s="446">
        <f t="shared" si="41"/>
        <v>21.351015</v>
      </c>
      <c r="S100" s="446">
        <f t="shared" si="26"/>
        <v>35.604135</v>
      </c>
      <c r="T100" s="446"/>
      <c r="U100" s="446"/>
      <c r="V100" s="447">
        <f t="shared" si="33"/>
        <v>0.2945955385669546</v>
      </c>
      <c r="W100" s="447">
        <f t="shared" si="34"/>
        <v>9.234530528827255E-07</v>
      </c>
      <c r="X100" s="447">
        <f t="shared" si="23"/>
        <v>9.234530528827255E-07</v>
      </c>
      <c r="Y100" s="447">
        <f t="shared" si="23"/>
        <v>1.691505222786164</v>
      </c>
      <c r="Z100" s="447"/>
      <c r="AA100" s="447">
        <f t="shared" si="29"/>
        <v>1.3157990710230107</v>
      </c>
      <c r="AB100" s="447"/>
      <c r="AC100" s="447">
        <f t="shared" si="35"/>
        <v>1.5304728578489128E-06</v>
      </c>
      <c r="AD100" s="448" t="s">
        <v>24</v>
      </c>
      <c r="AE100" s="449">
        <f t="shared" si="36"/>
        <v>0.5577689243027888</v>
      </c>
      <c r="AF100" s="447">
        <f t="shared" si="37"/>
        <v>3.3019032097550927</v>
      </c>
      <c r="AG100" s="591"/>
      <c r="AH100" s="455" t="s">
        <v>24</v>
      </c>
      <c r="AI100" s="453"/>
      <c r="AJ100" s="456"/>
      <c r="AK100" s="597"/>
      <c r="AL100" s="21"/>
    </row>
    <row r="101" spans="1:38" ht="12.75">
      <c r="A101" s="470"/>
      <c r="B101" s="468"/>
      <c r="C101" s="472"/>
      <c r="D101" s="457" t="s">
        <v>25</v>
      </c>
      <c r="E101" s="458">
        <v>249</v>
      </c>
      <c r="F101" s="459">
        <f>IF(E101=0,0,E101/SUM(E98:E101))</f>
        <v>0.19840637450199203</v>
      </c>
      <c r="G101" s="445">
        <f t="shared" si="31"/>
        <v>46985</v>
      </c>
      <c r="H101" s="445">
        <v>6579</v>
      </c>
      <c r="I101" s="445">
        <v>9517</v>
      </c>
      <c r="J101" s="445">
        <v>8931</v>
      </c>
      <c r="K101" s="445">
        <v>10763</v>
      </c>
      <c r="L101" s="445">
        <v>11195</v>
      </c>
      <c r="M101" s="445"/>
      <c r="N101" s="446">
        <f t="shared" si="32"/>
        <v>14.506695</v>
      </c>
      <c r="O101" s="446"/>
      <c r="P101" s="446"/>
      <c r="Q101" s="446">
        <f t="shared" si="41"/>
        <v>23.732415</v>
      </c>
      <c r="R101" s="446">
        <f t="shared" si="41"/>
        <v>24.684975</v>
      </c>
      <c r="S101" s="446">
        <f t="shared" si="26"/>
        <v>40.67784</v>
      </c>
      <c r="T101" s="446"/>
      <c r="U101" s="446"/>
      <c r="V101" s="447">
        <f t="shared" si="33"/>
        <v>0.4135629465218714</v>
      </c>
      <c r="W101" s="447">
        <f t="shared" si="34"/>
        <v>9.234530528827255E-07</v>
      </c>
      <c r="X101" s="447">
        <f t="shared" si="23"/>
        <v>9.234530528827255E-07</v>
      </c>
      <c r="Y101" s="447">
        <f t="shared" si="23"/>
        <v>2.9394609229787214</v>
      </c>
      <c r="Z101" s="447"/>
      <c r="AA101" s="447">
        <f t="shared" si="29"/>
        <v>2.232411721731061</v>
      </c>
      <c r="AB101" s="447"/>
      <c r="AC101" s="447">
        <f t="shared" si="35"/>
        <v>1.5304728578489128E-06</v>
      </c>
      <c r="AD101" s="448" t="s">
        <v>25</v>
      </c>
      <c r="AE101" s="449">
        <f t="shared" si="36"/>
        <v>0.19840637450199203</v>
      </c>
      <c r="AF101" s="447">
        <f t="shared" si="37"/>
        <v>5.585438968610617</v>
      </c>
      <c r="AG101" s="592"/>
      <c r="AH101" s="460" t="s">
        <v>25</v>
      </c>
      <c r="AI101" s="458"/>
      <c r="AJ101" s="461"/>
      <c r="AK101" s="598"/>
      <c r="AL101" s="21"/>
    </row>
    <row r="102" spans="1:38" ht="12.75">
      <c r="A102" s="410"/>
      <c r="B102" s="404"/>
      <c r="C102" s="437"/>
      <c r="D102" s="1" t="s">
        <v>22</v>
      </c>
      <c r="E102" s="4">
        <v>0</v>
      </c>
      <c r="F102" s="13">
        <f>IF(E102=0,0,E102/SUM(E102:E105))</f>
        <v>0</v>
      </c>
      <c r="G102" s="431">
        <f t="shared" si="31"/>
        <v>0</v>
      </c>
      <c r="H102" s="441"/>
      <c r="I102" s="441"/>
      <c r="J102" s="441"/>
      <c r="K102" s="441"/>
      <c r="L102" s="441"/>
      <c r="M102" s="441"/>
      <c r="N102" s="432">
        <f t="shared" si="32"/>
        <v>0</v>
      </c>
      <c r="O102" s="432">
        <f>I102/1000*$AF$3</f>
        <v>0</v>
      </c>
      <c r="P102" s="432"/>
      <c r="Q102" s="446">
        <f t="shared" si="41"/>
        <v>0</v>
      </c>
      <c r="R102" s="446">
        <f t="shared" si="41"/>
        <v>0</v>
      </c>
      <c r="S102" s="446">
        <f t="shared" si="26"/>
        <v>0</v>
      </c>
      <c r="T102" s="432"/>
      <c r="U102" s="432"/>
      <c r="V102" s="433">
        <f t="shared" si="33"/>
        <v>9.234530528827255E-07</v>
      </c>
      <c r="W102" s="433">
        <f t="shared" si="34"/>
        <v>9.234530528827255E-07</v>
      </c>
      <c r="X102" s="433"/>
      <c r="Y102" s="433"/>
      <c r="Z102" s="433"/>
      <c r="AA102" s="433"/>
      <c r="AB102" s="433"/>
      <c r="AC102" s="433">
        <f t="shared" si="35"/>
        <v>1.5304728578489128E-06</v>
      </c>
      <c r="AD102" s="430" t="s">
        <v>22</v>
      </c>
      <c r="AE102" s="434">
        <f t="shared" si="36"/>
        <v>0</v>
      </c>
      <c r="AF102" s="433">
        <f t="shared" si="37"/>
        <v>3.377378963614364E-06</v>
      </c>
      <c r="AG102" s="605">
        <f>SUMPRODUCT(AE102:AE105,AF102:AF105)</f>
        <v>0.27932214464796523</v>
      </c>
      <c r="AH102" s="137" t="s">
        <v>22</v>
      </c>
      <c r="AI102" s="23"/>
      <c r="AJ102" s="27"/>
      <c r="AK102" s="587"/>
      <c r="AL102" s="21"/>
    </row>
    <row r="103" spans="1:38" ht="12.75">
      <c r="A103" s="410">
        <v>24</v>
      </c>
      <c r="B103" s="428" t="s">
        <v>43</v>
      </c>
      <c r="C103" s="437"/>
      <c r="D103" s="2" t="s">
        <v>23</v>
      </c>
      <c r="E103" s="5">
        <v>2</v>
      </c>
      <c r="F103" s="14">
        <f>IF(E103=0,0,E103/SUM(E102:E105))</f>
        <v>0.09090909090909091</v>
      </c>
      <c r="G103" s="431">
        <f t="shared" si="31"/>
        <v>35050</v>
      </c>
      <c r="H103" s="441">
        <v>5650</v>
      </c>
      <c r="I103" s="441">
        <v>6900</v>
      </c>
      <c r="J103" s="441">
        <v>4550</v>
      </c>
      <c r="K103" s="441">
        <v>5550</v>
      </c>
      <c r="L103" s="441">
        <v>6300</v>
      </c>
      <c r="M103" s="441">
        <v>6100</v>
      </c>
      <c r="N103" s="432">
        <f t="shared" si="32"/>
        <v>12.458250000000001</v>
      </c>
      <c r="O103" s="432"/>
      <c r="P103" s="446"/>
      <c r="Q103" s="446">
        <f>K103/1000*$AF$3</f>
        <v>12.23775</v>
      </c>
      <c r="R103" s="446"/>
      <c r="S103" s="446">
        <f t="shared" si="26"/>
        <v>25.247249999999998</v>
      </c>
      <c r="T103" s="446">
        <f>(L103+M103)/1000*$AF$3</f>
        <v>27.342000000000002</v>
      </c>
      <c r="U103" s="432"/>
      <c r="V103" s="433">
        <f t="shared" si="33"/>
        <v>0.2184924492272821</v>
      </c>
      <c r="W103" s="433">
        <f t="shared" si="34"/>
        <v>9.234530528827255E-07</v>
      </c>
      <c r="X103" s="433"/>
      <c r="Y103" s="433"/>
      <c r="Z103" s="433"/>
      <c r="AA103" s="433"/>
      <c r="AB103" s="433"/>
      <c r="AC103" s="433">
        <f t="shared" si="35"/>
        <v>1.5304728578489128E-06</v>
      </c>
      <c r="AD103" s="430" t="s">
        <v>23</v>
      </c>
      <c r="AE103" s="434">
        <f t="shared" si="36"/>
        <v>0.09090909090909091</v>
      </c>
      <c r="AF103" s="433">
        <f t="shared" si="37"/>
        <v>0.2184949031531928</v>
      </c>
      <c r="AG103" s="606"/>
      <c r="AH103" s="138" t="s">
        <v>23</v>
      </c>
      <c r="AI103" s="29"/>
      <c r="AJ103" s="33"/>
      <c r="AK103" s="588"/>
      <c r="AL103" s="21"/>
    </row>
    <row r="104" spans="1:38" ht="12.75">
      <c r="A104" s="410"/>
      <c r="B104" s="404"/>
      <c r="C104" s="437"/>
      <c r="D104" s="2" t="s">
        <v>24</v>
      </c>
      <c r="E104" s="5">
        <v>14</v>
      </c>
      <c r="F104" s="14">
        <f>IF(E104=0,0,E104/SUM(E102:E105))</f>
        <v>0.6363636363636364</v>
      </c>
      <c r="G104" s="431">
        <f t="shared" si="31"/>
        <v>40115</v>
      </c>
      <c r="H104" s="441">
        <v>6000</v>
      </c>
      <c r="I104" s="441">
        <v>7293</v>
      </c>
      <c r="J104" s="441">
        <v>5036</v>
      </c>
      <c r="K104" s="441">
        <v>7714</v>
      </c>
      <c r="L104" s="441">
        <v>6886</v>
      </c>
      <c r="M104" s="441">
        <v>7186</v>
      </c>
      <c r="N104" s="432">
        <f t="shared" si="32"/>
        <v>13.23</v>
      </c>
      <c r="O104" s="432"/>
      <c r="P104" s="446"/>
      <c r="Q104" s="446">
        <f>K104/1000*$AF$3</f>
        <v>17.00937</v>
      </c>
      <c r="R104" s="446"/>
      <c r="S104" s="446">
        <f t="shared" si="26"/>
        <v>27.185445</v>
      </c>
      <c r="T104" s="446">
        <f>(L104+M104)/1000*$AF$3</f>
        <v>31.02876</v>
      </c>
      <c r="U104" s="432"/>
      <c r="V104" s="433">
        <f t="shared" si="33"/>
        <v>0.28137516956535713</v>
      </c>
      <c r="W104" s="433">
        <f t="shared" si="34"/>
        <v>9.234530528827255E-07</v>
      </c>
      <c r="X104" s="433"/>
      <c r="Y104" s="433"/>
      <c r="Z104" s="433"/>
      <c r="AA104" s="433"/>
      <c r="AB104" s="433"/>
      <c r="AC104" s="433">
        <f t="shared" si="35"/>
        <v>1.5304728578489128E-06</v>
      </c>
      <c r="AD104" s="430" t="s">
        <v>24</v>
      </c>
      <c r="AE104" s="434">
        <f t="shared" si="36"/>
        <v>0.6363636363636364</v>
      </c>
      <c r="AF104" s="433">
        <f t="shared" si="37"/>
        <v>0.2813776234912678</v>
      </c>
      <c r="AG104" s="606"/>
      <c r="AH104" s="138" t="s">
        <v>24</v>
      </c>
      <c r="AI104" s="29"/>
      <c r="AJ104" s="33"/>
      <c r="AK104" s="588"/>
      <c r="AL104" s="21"/>
    </row>
    <row r="105" spans="1:38" ht="12.75">
      <c r="A105" s="410"/>
      <c r="B105" s="404"/>
      <c r="C105" s="437"/>
      <c r="D105" s="3" t="s">
        <v>25</v>
      </c>
      <c r="E105" s="6">
        <v>6</v>
      </c>
      <c r="F105" s="15">
        <f>IF(E105=0,0,E105/SUM(E102:E105))</f>
        <v>0.2727272727272727</v>
      </c>
      <c r="G105" s="431">
        <f t="shared" si="31"/>
        <v>47151</v>
      </c>
      <c r="H105" s="441">
        <v>6067</v>
      </c>
      <c r="I105" s="441">
        <v>7733</v>
      </c>
      <c r="J105" s="441">
        <v>5867</v>
      </c>
      <c r="K105" s="441">
        <v>9617</v>
      </c>
      <c r="L105" s="441">
        <v>8767</v>
      </c>
      <c r="M105" s="441">
        <v>9100</v>
      </c>
      <c r="N105" s="432">
        <f t="shared" si="32"/>
        <v>13.377735000000001</v>
      </c>
      <c r="O105" s="432"/>
      <c r="P105" s="446"/>
      <c r="Q105" s="446">
        <f>K105/1000*$AF$3</f>
        <v>21.205485000000003</v>
      </c>
      <c r="R105" s="446"/>
      <c r="S105" s="446">
        <f t="shared" si="26"/>
        <v>29.988</v>
      </c>
      <c r="T105" s="446">
        <f>(L105+M105)/1000*$AF$3</f>
        <v>39.39673500000001</v>
      </c>
      <c r="U105" s="432"/>
      <c r="V105" s="433">
        <f t="shared" si="33"/>
        <v>0.2947993205859394</v>
      </c>
      <c r="W105" s="433">
        <f t="shared" si="34"/>
        <v>9.234530528827255E-07</v>
      </c>
      <c r="X105" s="433"/>
      <c r="Y105" s="433"/>
      <c r="Z105" s="433"/>
      <c r="AA105" s="433"/>
      <c r="AB105" s="433"/>
      <c r="AC105" s="433">
        <f t="shared" si="35"/>
        <v>1.5304728578489128E-06</v>
      </c>
      <c r="AD105" s="430" t="s">
        <v>25</v>
      </c>
      <c r="AE105" s="434">
        <f t="shared" si="36"/>
        <v>0.2727272727272727</v>
      </c>
      <c r="AF105" s="433">
        <f t="shared" si="37"/>
        <v>0.2948017745118501</v>
      </c>
      <c r="AG105" s="607"/>
      <c r="AH105" s="139" t="s">
        <v>25</v>
      </c>
      <c r="AI105" s="35"/>
      <c r="AJ105" s="39"/>
      <c r="AK105" s="589"/>
      <c r="AL105" s="21"/>
    </row>
    <row r="106" spans="1:38" ht="12.75">
      <c r="A106" s="469"/>
      <c r="B106" s="465"/>
      <c r="C106" s="471"/>
      <c r="D106" s="442" t="s">
        <v>22</v>
      </c>
      <c r="E106" s="443">
        <v>0</v>
      </c>
      <c r="F106" s="444">
        <f>IF(E106=0,0,E106/SUM(E106:E109))</f>
        <v>0</v>
      </c>
      <c r="G106" s="445">
        <f t="shared" si="31"/>
        <v>0</v>
      </c>
      <c r="H106" s="445"/>
      <c r="I106" s="445"/>
      <c r="J106" s="445"/>
      <c r="K106" s="445"/>
      <c r="L106" s="445"/>
      <c r="M106" s="445"/>
      <c r="N106" s="446">
        <f t="shared" si="32"/>
        <v>0</v>
      </c>
      <c r="O106" s="446">
        <f>I106/1000*$AF$3</f>
        <v>0</v>
      </c>
      <c r="P106" s="446"/>
      <c r="Q106" s="446"/>
      <c r="R106" s="446"/>
      <c r="S106" s="446"/>
      <c r="T106" s="446"/>
      <c r="U106" s="446">
        <f>(J106+K106+L106)/1000*$AF$3</f>
        <v>0</v>
      </c>
      <c r="V106" s="447">
        <f t="shared" si="33"/>
        <v>9.234530528827255E-07</v>
      </c>
      <c r="W106" s="447">
        <f t="shared" si="34"/>
        <v>9.234530528827255E-07</v>
      </c>
      <c r="X106" s="447"/>
      <c r="Y106" s="447"/>
      <c r="Z106" s="447"/>
      <c r="AA106" s="447"/>
      <c r="AB106" s="447"/>
      <c r="AC106" s="447">
        <f t="shared" si="35"/>
        <v>1.5304728578489128E-06</v>
      </c>
      <c r="AD106" s="448" t="s">
        <v>22</v>
      </c>
      <c r="AE106" s="449">
        <f t="shared" si="36"/>
        <v>0</v>
      </c>
      <c r="AF106" s="447">
        <f t="shared" si="37"/>
        <v>3.377378963614364E-06</v>
      </c>
      <c r="AG106" s="590">
        <f>SUMPRODUCT(AE106:AE109,AF106:AF109)</f>
        <v>0</v>
      </c>
      <c r="AH106" s="450" t="s">
        <v>22</v>
      </c>
      <c r="AI106" s="443"/>
      <c r="AJ106" s="451"/>
      <c r="AK106" s="596"/>
      <c r="AL106" s="21"/>
    </row>
    <row r="107" spans="1:38" ht="12.75">
      <c r="A107" s="466">
        <v>25</v>
      </c>
      <c r="B107" s="463" t="s">
        <v>44</v>
      </c>
      <c r="C107" s="464"/>
      <c r="D107" s="452" t="s">
        <v>23</v>
      </c>
      <c r="E107" s="453">
        <v>0</v>
      </c>
      <c r="F107" s="454">
        <f>IF(E107=0,0,E107/SUM(E106:E109))</f>
        <v>0</v>
      </c>
      <c r="G107" s="445">
        <f t="shared" si="31"/>
        <v>0</v>
      </c>
      <c r="H107" s="445"/>
      <c r="I107" s="445"/>
      <c r="J107" s="445"/>
      <c r="K107" s="445"/>
      <c r="L107" s="445"/>
      <c r="M107" s="445"/>
      <c r="N107" s="446">
        <f t="shared" si="32"/>
        <v>0</v>
      </c>
      <c r="O107" s="446">
        <f>I107/1000*$AF$3</f>
        <v>0</v>
      </c>
      <c r="P107" s="446"/>
      <c r="Q107" s="446"/>
      <c r="R107" s="446"/>
      <c r="S107" s="446"/>
      <c r="T107" s="446"/>
      <c r="U107" s="446">
        <f>(J107+K107+L107)/1000*$AF$3</f>
        <v>0</v>
      </c>
      <c r="V107" s="447">
        <f t="shared" si="33"/>
        <v>9.234530528827255E-07</v>
      </c>
      <c r="W107" s="447">
        <f t="shared" si="34"/>
        <v>9.234530528827255E-07</v>
      </c>
      <c r="X107" s="447"/>
      <c r="Y107" s="447"/>
      <c r="Z107" s="447"/>
      <c r="AA107" s="447"/>
      <c r="AB107" s="447"/>
      <c r="AC107" s="447">
        <f t="shared" si="35"/>
        <v>1.5304728578489128E-06</v>
      </c>
      <c r="AD107" s="448" t="s">
        <v>23</v>
      </c>
      <c r="AE107" s="449">
        <f t="shared" si="36"/>
        <v>0</v>
      </c>
      <c r="AF107" s="447">
        <f t="shared" si="37"/>
        <v>3.377378963614364E-06</v>
      </c>
      <c r="AG107" s="591"/>
      <c r="AH107" s="455" t="s">
        <v>23</v>
      </c>
      <c r="AI107" s="453"/>
      <c r="AJ107" s="456"/>
      <c r="AK107" s="597"/>
      <c r="AL107" s="21"/>
    </row>
    <row r="108" spans="1:38" ht="12.75">
      <c r="A108" s="466"/>
      <c r="B108" s="462"/>
      <c r="C108" s="464"/>
      <c r="D108" s="452" t="s">
        <v>24</v>
      </c>
      <c r="E108" s="453">
        <v>0</v>
      </c>
      <c r="F108" s="454">
        <f>IF(E108=0,0,E108/SUM(E106:E109))</f>
        <v>0</v>
      </c>
      <c r="G108" s="445">
        <f t="shared" si="31"/>
        <v>0</v>
      </c>
      <c r="H108" s="445"/>
      <c r="I108" s="445"/>
      <c r="J108" s="445"/>
      <c r="K108" s="445"/>
      <c r="L108" s="445"/>
      <c r="M108" s="445"/>
      <c r="N108" s="446">
        <f t="shared" si="32"/>
        <v>0</v>
      </c>
      <c r="O108" s="446">
        <f>I108/1000*$AF$3</f>
        <v>0</v>
      </c>
      <c r="P108" s="446"/>
      <c r="Q108" s="446"/>
      <c r="R108" s="446"/>
      <c r="S108" s="446"/>
      <c r="T108" s="446"/>
      <c r="U108" s="446">
        <f>(J108+K108+L108)/1000*$AF$3</f>
        <v>0</v>
      </c>
      <c r="V108" s="447">
        <f t="shared" si="33"/>
        <v>9.234530528827255E-07</v>
      </c>
      <c r="W108" s="447">
        <f t="shared" si="34"/>
        <v>9.234530528827255E-07</v>
      </c>
      <c r="X108" s="447"/>
      <c r="Y108" s="447"/>
      <c r="Z108" s="447"/>
      <c r="AA108" s="447"/>
      <c r="AB108" s="447"/>
      <c r="AC108" s="447">
        <f t="shared" si="35"/>
        <v>1.5304728578489128E-06</v>
      </c>
      <c r="AD108" s="448" t="s">
        <v>24</v>
      </c>
      <c r="AE108" s="449">
        <f t="shared" si="36"/>
        <v>0</v>
      </c>
      <c r="AF108" s="447">
        <f t="shared" si="37"/>
        <v>3.377378963614364E-06</v>
      </c>
      <c r="AG108" s="591"/>
      <c r="AH108" s="455" t="s">
        <v>24</v>
      </c>
      <c r="AI108" s="453"/>
      <c r="AJ108" s="456"/>
      <c r="AK108" s="597"/>
      <c r="AL108" s="21"/>
    </row>
    <row r="109" spans="1:38" ht="12.75">
      <c r="A109" s="470"/>
      <c r="B109" s="468"/>
      <c r="C109" s="472"/>
      <c r="D109" s="457" t="s">
        <v>25</v>
      </c>
      <c r="E109" s="458">
        <v>0</v>
      </c>
      <c r="F109" s="459">
        <f>IF(E109=0,0,E109/SUM(E106:E109))</f>
        <v>0</v>
      </c>
      <c r="G109" s="445">
        <f t="shared" si="31"/>
        <v>0</v>
      </c>
      <c r="H109" s="445"/>
      <c r="I109" s="445"/>
      <c r="J109" s="445"/>
      <c r="K109" s="445"/>
      <c r="L109" s="445"/>
      <c r="M109" s="445"/>
      <c r="N109" s="446">
        <f t="shared" si="32"/>
        <v>0</v>
      </c>
      <c r="O109" s="446">
        <f>I109/1000*$AF$3</f>
        <v>0</v>
      </c>
      <c r="P109" s="446"/>
      <c r="Q109" s="446"/>
      <c r="R109" s="446"/>
      <c r="S109" s="446"/>
      <c r="T109" s="446"/>
      <c r="U109" s="446">
        <f>(J109+K109+L109)/1000*$AF$3</f>
        <v>0</v>
      </c>
      <c r="V109" s="447">
        <f t="shared" si="33"/>
        <v>9.234530528827255E-07</v>
      </c>
      <c r="W109" s="447">
        <f t="shared" si="34"/>
        <v>9.234530528827255E-07</v>
      </c>
      <c r="X109" s="447"/>
      <c r="Y109" s="447"/>
      <c r="Z109" s="447"/>
      <c r="AA109" s="447"/>
      <c r="AB109" s="447"/>
      <c r="AC109" s="447">
        <f t="shared" si="35"/>
        <v>1.5304728578489128E-06</v>
      </c>
      <c r="AD109" s="448" t="s">
        <v>25</v>
      </c>
      <c r="AE109" s="449">
        <f t="shared" si="36"/>
        <v>0</v>
      </c>
      <c r="AF109" s="447">
        <f t="shared" si="37"/>
        <v>3.377378963614364E-06</v>
      </c>
      <c r="AG109" s="592"/>
      <c r="AH109" s="460" t="s">
        <v>25</v>
      </c>
      <c r="AI109" s="458"/>
      <c r="AJ109" s="461"/>
      <c r="AK109" s="598"/>
      <c r="AL109" s="21"/>
    </row>
    <row r="110" spans="1:38" ht="12.75">
      <c r="A110" s="520">
        <v>26</v>
      </c>
      <c r="B110" s="614" t="s">
        <v>44</v>
      </c>
      <c r="C110" s="520"/>
      <c r="D110" s="22" t="s">
        <v>22</v>
      </c>
      <c r="E110" s="23">
        <v>0</v>
      </c>
      <c r="F110" s="24">
        <f>IF(E110=0,0,E110/SUM(E110:E113))</f>
        <v>0</v>
      </c>
      <c r="G110" s="412">
        <f t="shared" si="2"/>
        <v>0</v>
      </c>
      <c r="H110" s="441"/>
      <c r="I110" s="441"/>
      <c r="J110" s="441"/>
      <c r="K110" s="441"/>
      <c r="L110" s="441"/>
      <c r="M110" s="441"/>
      <c r="N110" s="414">
        <f aca="true" t="shared" si="42" ref="N110:N125">H110/1000*$AF$3</f>
        <v>0</v>
      </c>
      <c r="O110" s="414"/>
      <c r="P110" s="414"/>
      <c r="Q110" s="414"/>
      <c r="R110" s="414"/>
      <c r="S110" s="414">
        <f>(I110+J110)/1000*$AF$3</f>
        <v>0</v>
      </c>
      <c r="T110" s="414">
        <f>(K110+L110)/1000*$AF$3</f>
        <v>0</v>
      </c>
      <c r="U110" s="414"/>
      <c r="V110" s="415">
        <f aca="true" t="shared" si="43" ref="V110:V145">1/10^(6.1252-4.79*LOG(N110+1)+(LOG((4.2-$AF$5)/(4.2-1.5)))*(1/(0.4+0.081*(N110+1)^3.23/($AF$4+1)^5.19)-1/(0.4+1094/($AF$4+1)^5.19)))</f>
        <v>9.234530528827255E-07</v>
      </c>
      <c r="W110" s="415"/>
      <c r="X110" s="415"/>
      <c r="Y110" s="415"/>
      <c r="Z110" s="415"/>
      <c r="AA110" s="415">
        <f aca="true" t="shared" si="44" ref="AA110:AB113">1/10^(7.4287-4.79*LOG(S110+2)+(LOG((4.2-$AF$5)/(4.2-1.5)))*(1/(0.4+0.008633*(S110+2)^3.23/($AF$4+1)^5.19)-1/(0.4+1094/($AF$4+1)^5.19)))</f>
        <v>1.270130954959039E-06</v>
      </c>
      <c r="AB110" s="415">
        <f t="shared" si="44"/>
        <v>1.270130954959039E-06</v>
      </c>
      <c r="AC110" s="415"/>
      <c r="AD110" s="411" t="s">
        <v>22</v>
      </c>
      <c r="AE110" s="416">
        <f t="shared" si="3"/>
        <v>0</v>
      </c>
      <c r="AF110" s="415">
        <f t="shared" si="4"/>
        <v>3.463714962800804E-06</v>
      </c>
      <c r="AG110" s="593">
        <f>SUMPRODUCT(AE110:AE113,AF110:AF113)</f>
        <v>0</v>
      </c>
      <c r="AH110" s="137" t="s">
        <v>22</v>
      </c>
      <c r="AI110" s="23"/>
      <c r="AJ110" s="27"/>
      <c r="AK110" s="587"/>
      <c r="AL110" s="21"/>
    </row>
    <row r="111" spans="1:38" ht="12.75">
      <c r="A111" s="608"/>
      <c r="B111" s="608"/>
      <c r="C111" s="521"/>
      <c r="D111" s="28" t="s">
        <v>23</v>
      </c>
      <c r="E111" s="29">
        <v>0</v>
      </c>
      <c r="F111" s="30">
        <f>IF(E111=0,0,E111/SUM(E110:E113))</f>
        <v>0</v>
      </c>
      <c r="G111" s="412">
        <f t="shared" si="2"/>
        <v>0</v>
      </c>
      <c r="H111" s="441"/>
      <c r="I111" s="441"/>
      <c r="J111" s="441"/>
      <c r="K111" s="441"/>
      <c r="L111" s="441"/>
      <c r="M111" s="441"/>
      <c r="N111" s="414">
        <f t="shared" si="42"/>
        <v>0</v>
      </c>
      <c r="O111" s="414"/>
      <c r="P111" s="414"/>
      <c r="Q111" s="414"/>
      <c r="R111" s="414"/>
      <c r="S111" s="414">
        <f>(I111+J111)/1000*$AF$3</f>
        <v>0</v>
      </c>
      <c r="T111" s="414">
        <f>(K111+L111)/1000*$AF$3</f>
        <v>0</v>
      </c>
      <c r="U111" s="414"/>
      <c r="V111" s="415">
        <f t="shared" si="43"/>
        <v>9.234530528827255E-07</v>
      </c>
      <c r="W111" s="415"/>
      <c r="X111" s="415"/>
      <c r="Y111" s="415"/>
      <c r="Z111" s="415"/>
      <c r="AA111" s="415">
        <f t="shared" si="44"/>
        <v>1.270130954959039E-06</v>
      </c>
      <c r="AB111" s="415">
        <f t="shared" si="44"/>
        <v>1.270130954959039E-06</v>
      </c>
      <c r="AC111" s="415"/>
      <c r="AD111" s="411" t="s">
        <v>23</v>
      </c>
      <c r="AE111" s="416">
        <f t="shared" si="3"/>
        <v>0</v>
      </c>
      <c r="AF111" s="415">
        <f t="shared" si="4"/>
        <v>3.463714962800804E-06</v>
      </c>
      <c r="AG111" s="594"/>
      <c r="AH111" s="138" t="s">
        <v>23</v>
      </c>
      <c r="AI111" s="29"/>
      <c r="AJ111" s="33"/>
      <c r="AK111" s="588"/>
      <c r="AL111" s="21"/>
    </row>
    <row r="112" spans="1:38" ht="12.75">
      <c r="A112" s="608"/>
      <c r="B112" s="608"/>
      <c r="C112" s="521"/>
      <c r="D112" s="28" t="s">
        <v>24</v>
      </c>
      <c r="E112" s="29">
        <v>0</v>
      </c>
      <c r="F112" s="30">
        <f>IF(E112=0,0,E112/SUM(E110:E113))</f>
        <v>0</v>
      </c>
      <c r="G112" s="412">
        <f t="shared" si="2"/>
        <v>0</v>
      </c>
      <c r="H112" s="441"/>
      <c r="I112" s="441"/>
      <c r="J112" s="441"/>
      <c r="K112" s="441"/>
      <c r="L112" s="441"/>
      <c r="M112" s="441"/>
      <c r="N112" s="414">
        <f t="shared" si="42"/>
        <v>0</v>
      </c>
      <c r="O112" s="414"/>
      <c r="P112" s="414"/>
      <c r="Q112" s="414"/>
      <c r="R112" s="414"/>
      <c r="S112" s="414">
        <f>(I112+J112)/1000*$AF$3</f>
        <v>0</v>
      </c>
      <c r="T112" s="414">
        <f>(K112+L112)/1000*$AF$3</f>
        <v>0</v>
      </c>
      <c r="U112" s="414"/>
      <c r="V112" s="415">
        <f t="shared" si="43"/>
        <v>9.234530528827255E-07</v>
      </c>
      <c r="W112" s="415"/>
      <c r="X112" s="415"/>
      <c r="Y112" s="415"/>
      <c r="Z112" s="415"/>
      <c r="AA112" s="415">
        <f t="shared" si="44"/>
        <v>1.270130954959039E-06</v>
      </c>
      <c r="AB112" s="415">
        <f t="shared" si="44"/>
        <v>1.270130954959039E-06</v>
      </c>
      <c r="AC112" s="415"/>
      <c r="AD112" s="411" t="s">
        <v>24</v>
      </c>
      <c r="AE112" s="416">
        <f t="shared" si="3"/>
        <v>0</v>
      </c>
      <c r="AF112" s="415">
        <f t="shared" si="4"/>
        <v>3.463714962800804E-06</v>
      </c>
      <c r="AG112" s="594"/>
      <c r="AH112" s="138" t="s">
        <v>24</v>
      </c>
      <c r="AI112" s="29"/>
      <c r="AJ112" s="33"/>
      <c r="AK112" s="588"/>
      <c r="AL112" s="21"/>
    </row>
    <row r="113" spans="1:38" ht="12.75">
      <c r="A113" s="609"/>
      <c r="B113" s="609"/>
      <c r="C113" s="522"/>
      <c r="D113" s="34" t="s">
        <v>25</v>
      </c>
      <c r="E113" s="35">
        <v>0</v>
      </c>
      <c r="F113" s="36">
        <f>IF(E113=0,0,E113/SUM(E110:E113))</f>
        <v>0</v>
      </c>
      <c r="G113" s="412">
        <f t="shared" si="2"/>
        <v>0</v>
      </c>
      <c r="H113" s="413"/>
      <c r="I113" s="413"/>
      <c r="J113" s="413"/>
      <c r="K113" s="413"/>
      <c r="L113" s="413"/>
      <c r="M113" s="413"/>
      <c r="N113" s="414">
        <f t="shared" si="42"/>
        <v>0</v>
      </c>
      <c r="O113" s="414"/>
      <c r="P113" s="414"/>
      <c r="Q113" s="414"/>
      <c r="R113" s="414"/>
      <c r="S113" s="414">
        <f>(I113+J113)/1000*$AF$3</f>
        <v>0</v>
      </c>
      <c r="T113" s="414">
        <f>(K113+L113)/1000*$AF$3</f>
        <v>0</v>
      </c>
      <c r="U113" s="414"/>
      <c r="V113" s="415">
        <f t="shared" si="43"/>
        <v>9.234530528827255E-07</v>
      </c>
      <c r="W113" s="415"/>
      <c r="X113" s="415"/>
      <c r="Y113" s="415"/>
      <c r="Z113" s="415"/>
      <c r="AA113" s="415">
        <f t="shared" si="44"/>
        <v>1.270130954959039E-06</v>
      </c>
      <c r="AB113" s="415">
        <f t="shared" si="44"/>
        <v>1.270130954959039E-06</v>
      </c>
      <c r="AC113" s="415"/>
      <c r="AD113" s="411" t="s">
        <v>25</v>
      </c>
      <c r="AE113" s="416">
        <f t="shared" si="3"/>
        <v>0</v>
      </c>
      <c r="AF113" s="415">
        <f t="shared" si="4"/>
        <v>3.463714962800804E-06</v>
      </c>
      <c r="AG113" s="595"/>
      <c r="AH113" s="139" t="s">
        <v>25</v>
      </c>
      <c r="AI113" s="35"/>
      <c r="AJ113" s="39"/>
      <c r="AK113" s="589"/>
      <c r="AL113" s="21"/>
    </row>
    <row r="114" spans="1:38" ht="12.75" customHeight="1" hidden="1">
      <c r="A114" s="517">
        <v>19</v>
      </c>
      <c r="B114" s="517" t="s">
        <v>38</v>
      </c>
      <c r="C114" s="517"/>
      <c r="D114" s="1" t="s">
        <v>22</v>
      </c>
      <c r="E114" s="4"/>
      <c r="F114" s="13">
        <f>IF(E114=0,0,E114/SUM(E114:E117))</f>
        <v>0</v>
      </c>
      <c r="G114" s="4">
        <f t="shared" si="2"/>
        <v>0</v>
      </c>
      <c r="H114" s="7"/>
      <c r="I114" s="7"/>
      <c r="J114" s="7"/>
      <c r="K114" s="7"/>
      <c r="L114" s="7"/>
      <c r="M114" s="264"/>
      <c r="N114" s="81">
        <f t="shared" si="42"/>
        <v>0</v>
      </c>
      <c r="O114" s="82">
        <f aca="true" t="shared" si="45" ref="O114:P117">I114/1000*$AF$3</f>
        <v>0</v>
      </c>
      <c r="P114" s="82">
        <f t="shared" si="45"/>
        <v>0</v>
      </c>
      <c r="Q114" s="83"/>
      <c r="R114" s="275"/>
      <c r="S114" s="81">
        <f>(K114+L114)/1000*$AF$3</f>
        <v>0</v>
      </c>
      <c r="T114" s="84"/>
      <c r="U114" s="85"/>
      <c r="V114" s="122">
        <f t="shared" si="43"/>
        <v>9.234530528827255E-07</v>
      </c>
      <c r="W114" s="123">
        <f aca="true" t="shared" si="46" ref="W114:X121">1/10^(6.1252-4.79*LOG(O114+1)+(LOG((4.2-$AF$5)/(4.2-1.5)))*(1/(0.4+0.081*(O114+1)^3.23/($AF$4+1)^5.19)-1/(0.4+1094/($AF$4+1)^5.19)))</f>
        <v>9.234530528827255E-07</v>
      </c>
      <c r="X114" s="123">
        <f t="shared" si="46"/>
        <v>9.234530528827255E-07</v>
      </c>
      <c r="Y114" s="124"/>
      <c r="Z114" s="284"/>
      <c r="AA114" s="122">
        <f aca="true" t="shared" si="47" ref="AA114:AA137">1/10^(7.4287-4.79*LOG(S114+2)+(LOG((4.2-$AF$5)/(4.2-1.5)))*(1/(0.4+0.008633*(S114+2)^3.23/($AF$4+1)^5.19)-1/(0.4+1094/($AF$4+1)^5.19)))</f>
        <v>1.270130954959039E-06</v>
      </c>
      <c r="AB114" s="125"/>
      <c r="AC114" s="126"/>
      <c r="AD114" s="1" t="s">
        <v>22</v>
      </c>
      <c r="AE114" s="143">
        <f t="shared" si="3"/>
        <v>0</v>
      </c>
      <c r="AF114" s="125">
        <f t="shared" si="4"/>
        <v>4.040490113607216E-06</v>
      </c>
      <c r="AG114" s="605">
        <f>SUMPRODUCT(AE114:AE117,AF114:AF117)</f>
        <v>0</v>
      </c>
      <c r="AH114" s="137" t="s">
        <v>22</v>
      </c>
      <c r="AI114" s="23"/>
      <c r="AJ114" s="27"/>
      <c r="AK114" s="587">
        <f>IF(SUM(AI114:AI117)=0,0,SUM(AI114:AI117)/SUM(E114:E117))</f>
        <v>0</v>
      </c>
      <c r="AL114" s="21"/>
    </row>
    <row r="115" spans="1:38" ht="12.75" customHeight="1" hidden="1">
      <c r="A115" s="608"/>
      <c r="B115" s="608"/>
      <c r="C115" s="518"/>
      <c r="D115" s="2" t="s">
        <v>23</v>
      </c>
      <c r="E115" s="5"/>
      <c r="F115" s="14">
        <f>IF(E115=0,0,E115/SUM(E114:E117))</f>
        <v>0</v>
      </c>
      <c r="G115" s="5">
        <f t="shared" si="2"/>
        <v>0</v>
      </c>
      <c r="H115" s="8"/>
      <c r="I115" s="8"/>
      <c r="J115" s="8"/>
      <c r="K115" s="8"/>
      <c r="L115" s="8"/>
      <c r="M115" s="265"/>
      <c r="N115" s="86">
        <f t="shared" si="42"/>
        <v>0</v>
      </c>
      <c r="O115" s="87">
        <f t="shared" si="45"/>
        <v>0</v>
      </c>
      <c r="P115" s="87">
        <f t="shared" si="45"/>
        <v>0</v>
      </c>
      <c r="Q115" s="88"/>
      <c r="R115" s="276"/>
      <c r="S115" s="86">
        <f>(K115+L115)/1000*$AF$3</f>
        <v>0</v>
      </c>
      <c r="T115" s="89"/>
      <c r="U115" s="90"/>
      <c r="V115" s="127">
        <f t="shared" si="43"/>
        <v>9.234530528827255E-07</v>
      </c>
      <c r="W115" s="128">
        <f t="shared" si="46"/>
        <v>9.234530528827255E-07</v>
      </c>
      <c r="X115" s="128">
        <f t="shared" si="46"/>
        <v>9.234530528827255E-07</v>
      </c>
      <c r="Y115" s="129"/>
      <c r="Z115" s="285"/>
      <c r="AA115" s="127">
        <f t="shared" si="47"/>
        <v>1.270130954959039E-06</v>
      </c>
      <c r="AB115" s="130"/>
      <c r="AC115" s="131"/>
      <c r="AD115" s="2" t="s">
        <v>23</v>
      </c>
      <c r="AE115" s="144">
        <f t="shared" si="3"/>
        <v>0</v>
      </c>
      <c r="AF115" s="130">
        <f t="shared" si="4"/>
        <v>4.040490113607216E-06</v>
      </c>
      <c r="AG115" s="606"/>
      <c r="AH115" s="138" t="s">
        <v>23</v>
      </c>
      <c r="AI115" s="29"/>
      <c r="AJ115" s="33"/>
      <c r="AK115" s="588"/>
      <c r="AL115" s="21"/>
    </row>
    <row r="116" spans="1:38" ht="12.75" customHeight="1" hidden="1">
      <c r="A116" s="608"/>
      <c r="B116" s="608"/>
      <c r="C116" s="518"/>
      <c r="D116" s="2" t="s">
        <v>24</v>
      </c>
      <c r="E116" s="5"/>
      <c r="F116" s="14">
        <f>IF(E116=0,0,E116/SUM(E114:E117))</f>
        <v>0</v>
      </c>
      <c r="G116" s="5">
        <f t="shared" si="2"/>
        <v>0</v>
      </c>
      <c r="H116" s="8"/>
      <c r="I116" s="8"/>
      <c r="J116" s="8"/>
      <c r="K116" s="8"/>
      <c r="L116" s="8"/>
      <c r="M116" s="265"/>
      <c r="N116" s="86">
        <f t="shared" si="42"/>
        <v>0</v>
      </c>
      <c r="O116" s="87">
        <f t="shared" si="45"/>
        <v>0</v>
      </c>
      <c r="P116" s="87">
        <f t="shared" si="45"/>
        <v>0</v>
      </c>
      <c r="Q116" s="88"/>
      <c r="R116" s="276"/>
      <c r="S116" s="86">
        <f>(K116+L116)/1000*$AF$3</f>
        <v>0</v>
      </c>
      <c r="T116" s="89"/>
      <c r="U116" s="90"/>
      <c r="V116" s="127">
        <f t="shared" si="43"/>
        <v>9.234530528827255E-07</v>
      </c>
      <c r="W116" s="128">
        <f t="shared" si="46"/>
        <v>9.234530528827255E-07</v>
      </c>
      <c r="X116" s="128">
        <f t="shared" si="46"/>
        <v>9.234530528827255E-07</v>
      </c>
      <c r="Y116" s="129"/>
      <c r="Z116" s="285"/>
      <c r="AA116" s="127">
        <f t="shared" si="47"/>
        <v>1.270130954959039E-06</v>
      </c>
      <c r="AB116" s="130"/>
      <c r="AC116" s="131"/>
      <c r="AD116" s="2" t="s">
        <v>24</v>
      </c>
      <c r="AE116" s="144">
        <f t="shared" si="3"/>
        <v>0</v>
      </c>
      <c r="AF116" s="130">
        <f t="shared" si="4"/>
        <v>4.040490113607216E-06</v>
      </c>
      <c r="AG116" s="606"/>
      <c r="AH116" s="138" t="s">
        <v>24</v>
      </c>
      <c r="AI116" s="29"/>
      <c r="AJ116" s="33"/>
      <c r="AK116" s="588"/>
      <c r="AL116" s="21"/>
    </row>
    <row r="117" spans="1:38" ht="12.75" customHeight="1" hidden="1">
      <c r="A117" s="609"/>
      <c r="B117" s="609"/>
      <c r="C117" s="519"/>
      <c r="D117" s="3" t="s">
        <v>25</v>
      </c>
      <c r="E117" s="6"/>
      <c r="F117" s="15">
        <f>IF(E117=0,0,E117/SUM(E114:E117))</f>
        <v>0</v>
      </c>
      <c r="G117" s="6">
        <f t="shared" si="2"/>
        <v>0</v>
      </c>
      <c r="H117" s="9"/>
      <c r="I117" s="9"/>
      <c r="J117" s="9"/>
      <c r="K117" s="9"/>
      <c r="L117" s="9"/>
      <c r="M117" s="266"/>
      <c r="N117" s="91">
        <f t="shared" si="42"/>
        <v>0</v>
      </c>
      <c r="O117" s="92">
        <f t="shared" si="45"/>
        <v>0</v>
      </c>
      <c r="P117" s="92">
        <f t="shared" si="45"/>
        <v>0</v>
      </c>
      <c r="Q117" s="93"/>
      <c r="R117" s="277"/>
      <c r="S117" s="91">
        <f>(K117+L117)/1000*$AF$3</f>
        <v>0</v>
      </c>
      <c r="T117" s="94"/>
      <c r="U117" s="95"/>
      <c r="V117" s="132">
        <f t="shared" si="43"/>
        <v>9.234530528827255E-07</v>
      </c>
      <c r="W117" s="133">
        <f t="shared" si="46"/>
        <v>9.234530528827255E-07</v>
      </c>
      <c r="X117" s="133">
        <f t="shared" si="46"/>
        <v>9.234530528827255E-07</v>
      </c>
      <c r="Y117" s="134"/>
      <c r="Z117" s="286"/>
      <c r="AA117" s="132">
        <f t="shared" si="47"/>
        <v>1.270130954959039E-06</v>
      </c>
      <c r="AB117" s="135"/>
      <c r="AC117" s="136"/>
      <c r="AD117" s="3" t="s">
        <v>25</v>
      </c>
      <c r="AE117" s="145">
        <f t="shared" si="3"/>
        <v>0</v>
      </c>
      <c r="AF117" s="135">
        <f t="shared" si="4"/>
        <v>4.040490113607216E-06</v>
      </c>
      <c r="AG117" s="607"/>
      <c r="AH117" s="139" t="s">
        <v>25</v>
      </c>
      <c r="AI117" s="35"/>
      <c r="AJ117" s="39"/>
      <c r="AK117" s="589"/>
      <c r="AL117" s="21"/>
    </row>
    <row r="118" spans="1:38" ht="12.75" customHeight="1" hidden="1">
      <c r="A118" s="520">
        <v>20</v>
      </c>
      <c r="B118" s="520" t="s">
        <v>39</v>
      </c>
      <c r="C118" s="520"/>
      <c r="D118" s="22" t="s">
        <v>22</v>
      </c>
      <c r="E118" s="23"/>
      <c r="F118" s="24">
        <f>IF(E118=0,0,E118/SUM(E118:E121))</f>
        <v>0</v>
      </c>
      <c r="G118" s="23">
        <f t="shared" si="2"/>
        <v>0</v>
      </c>
      <c r="H118" s="25"/>
      <c r="I118" s="25"/>
      <c r="J118" s="25"/>
      <c r="K118" s="25"/>
      <c r="L118" s="25"/>
      <c r="M118" s="261"/>
      <c r="N118" s="66">
        <f t="shared" si="42"/>
        <v>0</v>
      </c>
      <c r="O118" s="67">
        <f aca="true" t="shared" si="48" ref="O118:P121">K118/1000*$AF$3</f>
        <v>0</v>
      </c>
      <c r="P118" s="68">
        <f t="shared" si="48"/>
        <v>0</v>
      </c>
      <c r="Q118" s="68"/>
      <c r="R118" s="272"/>
      <c r="S118" s="66">
        <f aca="true" t="shared" si="49" ref="S118:S125">(I118+J118)/1000*$AF$3</f>
        <v>0</v>
      </c>
      <c r="T118" s="69"/>
      <c r="U118" s="70"/>
      <c r="V118" s="107">
        <f t="shared" si="43"/>
        <v>9.234530528827255E-07</v>
      </c>
      <c r="W118" s="108">
        <f t="shared" si="46"/>
        <v>9.234530528827255E-07</v>
      </c>
      <c r="X118" s="108">
        <f t="shared" si="46"/>
        <v>9.234530528827255E-07</v>
      </c>
      <c r="Y118" s="109"/>
      <c r="Z118" s="281"/>
      <c r="AA118" s="107">
        <f t="shared" si="47"/>
        <v>1.270130954959039E-06</v>
      </c>
      <c r="AB118" s="110"/>
      <c r="AC118" s="111"/>
      <c r="AD118" s="22" t="s">
        <v>22</v>
      </c>
      <c r="AE118" s="140">
        <f t="shared" si="3"/>
        <v>0</v>
      </c>
      <c r="AF118" s="110">
        <f t="shared" si="4"/>
        <v>4.040490113607216E-06</v>
      </c>
      <c r="AG118" s="593">
        <f>SUMPRODUCT(AE118:AE121,AF118:AF121)</f>
        <v>0</v>
      </c>
      <c r="AH118" s="137" t="s">
        <v>22</v>
      </c>
      <c r="AI118" s="23"/>
      <c r="AJ118" s="27"/>
      <c r="AK118" s="587">
        <f>IF(SUM(AI118:AI121)=0,0,SUM(AI118:AI121)/SUM(E118:E121))</f>
        <v>0</v>
      </c>
      <c r="AL118" s="21"/>
    </row>
    <row r="119" spans="1:38" ht="12.75" customHeight="1" hidden="1">
      <c r="A119" s="608"/>
      <c r="B119" s="608"/>
      <c r="C119" s="521"/>
      <c r="D119" s="28" t="s">
        <v>23</v>
      </c>
      <c r="E119" s="29"/>
      <c r="F119" s="30">
        <f>IF(E119=0,0,E119/SUM(E118:E121))</f>
        <v>0</v>
      </c>
      <c r="G119" s="29">
        <f t="shared" si="2"/>
        <v>0</v>
      </c>
      <c r="H119" s="31"/>
      <c r="I119" s="31"/>
      <c r="J119" s="31"/>
      <c r="K119" s="31"/>
      <c r="L119" s="31"/>
      <c r="M119" s="262"/>
      <c r="N119" s="71">
        <f t="shared" si="42"/>
        <v>0</v>
      </c>
      <c r="O119" s="72">
        <f t="shared" si="48"/>
        <v>0</v>
      </c>
      <c r="P119" s="73">
        <f t="shared" si="48"/>
        <v>0</v>
      </c>
      <c r="Q119" s="73"/>
      <c r="R119" s="273"/>
      <c r="S119" s="71">
        <f t="shared" si="49"/>
        <v>0</v>
      </c>
      <c r="T119" s="74"/>
      <c r="U119" s="75"/>
      <c r="V119" s="112">
        <f t="shared" si="43"/>
        <v>9.234530528827255E-07</v>
      </c>
      <c r="W119" s="113">
        <f t="shared" si="46"/>
        <v>9.234530528827255E-07</v>
      </c>
      <c r="X119" s="113">
        <f t="shared" si="46"/>
        <v>9.234530528827255E-07</v>
      </c>
      <c r="Y119" s="114"/>
      <c r="Z119" s="282"/>
      <c r="AA119" s="112">
        <f t="shared" si="47"/>
        <v>1.270130954959039E-06</v>
      </c>
      <c r="AB119" s="115"/>
      <c r="AC119" s="116"/>
      <c r="AD119" s="28" t="s">
        <v>23</v>
      </c>
      <c r="AE119" s="141">
        <f t="shared" si="3"/>
        <v>0</v>
      </c>
      <c r="AF119" s="115">
        <f t="shared" si="4"/>
        <v>4.040490113607216E-06</v>
      </c>
      <c r="AG119" s="594"/>
      <c r="AH119" s="138" t="s">
        <v>23</v>
      </c>
      <c r="AI119" s="29"/>
      <c r="AJ119" s="33"/>
      <c r="AK119" s="588"/>
      <c r="AL119" s="21"/>
    </row>
    <row r="120" spans="1:38" ht="12.75" customHeight="1" hidden="1">
      <c r="A120" s="608"/>
      <c r="B120" s="608"/>
      <c r="C120" s="521"/>
      <c r="D120" s="28" t="s">
        <v>24</v>
      </c>
      <c r="E120" s="29"/>
      <c r="F120" s="30">
        <f>IF(E120=0,0,E120/SUM(E118:E121))</f>
        <v>0</v>
      </c>
      <c r="G120" s="29">
        <f t="shared" si="2"/>
        <v>0</v>
      </c>
      <c r="H120" s="31"/>
      <c r="I120" s="31"/>
      <c r="J120" s="31"/>
      <c r="K120" s="31"/>
      <c r="L120" s="31"/>
      <c r="M120" s="262"/>
      <c r="N120" s="71">
        <f t="shared" si="42"/>
        <v>0</v>
      </c>
      <c r="O120" s="72">
        <f t="shared" si="48"/>
        <v>0</v>
      </c>
      <c r="P120" s="73">
        <f t="shared" si="48"/>
        <v>0</v>
      </c>
      <c r="Q120" s="73"/>
      <c r="R120" s="273"/>
      <c r="S120" s="71">
        <f t="shared" si="49"/>
        <v>0</v>
      </c>
      <c r="T120" s="74"/>
      <c r="U120" s="75"/>
      <c r="V120" s="112">
        <f t="shared" si="43"/>
        <v>9.234530528827255E-07</v>
      </c>
      <c r="W120" s="113">
        <f t="shared" si="46"/>
        <v>9.234530528827255E-07</v>
      </c>
      <c r="X120" s="113">
        <f t="shared" si="46"/>
        <v>9.234530528827255E-07</v>
      </c>
      <c r="Y120" s="114"/>
      <c r="Z120" s="282"/>
      <c r="AA120" s="112">
        <f t="shared" si="47"/>
        <v>1.270130954959039E-06</v>
      </c>
      <c r="AB120" s="115"/>
      <c r="AC120" s="116"/>
      <c r="AD120" s="28" t="s">
        <v>24</v>
      </c>
      <c r="AE120" s="141">
        <f t="shared" si="3"/>
        <v>0</v>
      </c>
      <c r="AF120" s="115">
        <f t="shared" si="4"/>
        <v>4.040490113607216E-06</v>
      </c>
      <c r="AG120" s="594"/>
      <c r="AH120" s="138" t="s">
        <v>24</v>
      </c>
      <c r="AI120" s="29"/>
      <c r="AJ120" s="33"/>
      <c r="AK120" s="588"/>
      <c r="AL120" s="21"/>
    </row>
    <row r="121" spans="1:38" ht="12.75" customHeight="1" hidden="1">
      <c r="A121" s="609"/>
      <c r="B121" s="609"/>
      <c r="C121" s="522"/>
      <c r="D121" s="34" t="s">
        <v>25</v>
      </c>
      <c r="E121" s="35"/>
      <c r="F121" s="36">
        <f>IF(E121=0,0,E121/SUM(E118:E121))</f>
        <v>0</v>
      </c>
      <c r="G121" s="35">
        <f t="shared" si="2"/>
        <v>0</v>
      </c>
      <c r="H121" s="37"/>
      <c r="I121" s="37"/>
      <c r="J121" s="37"/>
      <c r="K121" s="37"/>
      <c r="L121" s="37"/>
      <c r="M121" s="263"/>
      <c r="N121" s="76">
        <f t="shared" si="42"/>
        <v>0</v>
      </c>
      <c r="O121" s="77">
        <f t="shared" si="48"/>
        <v>0</v>
      </c>
      <c r="P121" s="78">
        <f t="shared" si="48"/>
        <v>0</v>
      </c>
      <c r="Q121" s="78"/>
      <c r="R121" s="274"/>
      <c r="S121" s="76">
        <f t="shared" si="49"/>
        <v>0</v>
      </c>
      <c r="T121" s="79"/>
      <c r="U121" s="80"/>
      <c r="V121" s="117">
        <f t="shared" si="43"/>
        <v>9.234530528827255E-07</v>
      </c>
      <c r="W121" s="118">
        <f t="shared" si="46"/>
        <v>9.234530528827255E-07</v>
      </c>
      <c r="X121" s="118">
        <f t="shared" si="46"/>
        <v>9.234530528827255E-07</v>
      </c>
      <c r="Y121" s="119"/>
      <c r="Z121" s="283"/>
      <c r="AA121" s="117">
        <f t="shared" si="47"/>
        <v>1.270130954959039E-06</v>
      </c>
      <c r="AB121" s="120"/>
      <c r="AC121" s="121"/>
      <c r="AD121" s="34" t="s">
        <v>25</v>
      </c>
      <c r="AE121" s="142">
        <f t="shared" si="3"/>
        <v>0</v>
      </c>
      <c r="AF121" s="120">
        <f t="shared" si="4"/>
        <v>4.040490113607216E-06</v>
      </c>
      <c r="AG121" s="595"/>
      <c r="AH121" s="139" t="s">
        <v>25</v>
      </c>
      <c r="AI121" s="35"/>
      <c r="AJ121" s="39"/>
      <c r="AK121" s="589"/>
      <c r="AL121" s="21"/>
    </row>
    <row r="122" spans="1:38" ht="12.75" customHeight="1" hidden="1">
      <c r="A122" s="517">
        <v>21</v>
      </c>
      <c r="B122" s="517" t="s">
        <v>40</v>
      </c>
      <c r="C122" s="517"/>
      <c r="D122" s="1" t="s">
        <v>22</v>
      </c>
      <c r="E122" s="4"/>
      <c r="F122" s="13">
        <f>IF(E122=0,0,E122/SUM(E122:E125))</f>
        <v>0</v>
      </c>
      <c r="G122" s="4">
        <f t="shared" si="2"/>
        <v>0</v>
      </c>
      <c r="H122" s="7"/>
      <c r="I122" s="7"/>
      <c r="J122" s="7"/>
      <c r="K122" s="7"/>
      <c r="L122" s="7"/>
      <c r="M122" s="264"/>
      <c r="N122" s="81">
        <f t="shared" si="42"/>
        <v>0</v>
      </c>
      <c r="O122" s="82"/>
      <c r="P122" s="83"/>
      <c r="Q122" s="83"/>
      <c r="R122" s="275"/>
      <c r="S122" s="81">
        <f t="shared" si="49"/>
        <v>0</v>
      </c>
      <c r="T122" s="84"/>
      <c r="U122" s="85">
        <f>(K122+L122+M122)/1000*$AF$3</f>
        <v>0</v>
      </c>
      <c r="V122" s="122">
        <f t="shared" si="43"/>
        <v>9.234530528827255E-07</v>
      </c>
      <c r="W122" s="123"/>
      <c r="X122" s="124"/>
      <c r="Y122" s="124"/>
      <c r="Z122" s="284"/>
      <c r="AA122" s="122">
        <f t="shared" si="47"/>
        <v>1.270130954959039E-06</v>
      </c>
      <c r="AB122" s="125"/>
      <c r="AC122" s="126">
        <f>1/10^(8.1912-4.79*LOG(U122+3)+(LOG((4.2-$AF$5)/(4.2-1.5)))*(1/(0.4+0.00233*(U122+3)^3.23/($AF$4+1)^5.19)-1/(0.4+1094/($AF$4+1)^5.19)))</f>
        <v>1.5304728578489128E-06</v>
      </c>
      <c r="AD122" s="1" t="s">
        <v>22</v>
      </c>
      <c r="AE122" s="143">
        <f t="shared" si="3"/>
        <v>0</v>
      </c>
      <c r="AF122" s="125">
        <f t="shared" si="4"/>
        <v>3.7240568656906776E-06</v>
      </c>
      <c r="AG122" s="605">
        <f>SUMPRODUCT(AE122:AE125,AF122:AF125)</f>
        <v>0</v>
      </c>
      <c r="AH122" s="137" t="s">
        <v>22</v>
      </c>
      <c r="AI122" s="23"/>
      <c r="AJ122" s="27"/>
      <c r="AK122" s="587">
        <f>IF(SUM(AI122:AI125)=0,0,SUM(AI122:AI125)/SUM(E122:E125))</f>
        <v>0</v>
      </c>
      <c r="AL122" s="21"/>
    </row>
    <row r="123" spans="1:38" ht="12.75" customHeight="1" hidden="1">
      <c r="A123" s="608"/>
      <c r="B123" s="608"/>
      <c r="C123" s="518"/>
      <c r="D123" s="2" t="s">
        <v>23</v>
      </c>
      <c r="E123" s="5"/>
      <c r="F123" s="14">
        <f>IF(E123=0,0,E123/SUM(E122:E125))</f>
        <v>0</v>
      </c>
      <c r="G123" s="5">
        <f t="shared" si="2"/>
        <v>0</v>
      </c>
      <c r="H123" s="8"/>
      <c r="I123" s="8"/>
      <c r="J123" s="8"/>
      <c r="K123" s="8"/>
      <c r="L123" s="8"/>
      <c r="M123" s="265"/>
      <c r="N123" s="86">
        <f t="shared" si="42"/>
        <v>0</v>
      </c>
      <c r="O123" s="87"/>
      <c r="P123" s="88"/>
      <c r="Q123" s="88"/>
      <c r="R123" s="276"/>
      <c r="S123" s="86">
        <f t="shared" si="49"/>
        <v>0</v>
      </c>
      <c r="T123" s="89"/>
      <c r="U123" s="90">
        <f>(K123+L123+M123)/1000*$AF$3</f>
        <v>0</v>
      </c>
      <c r="V123" s="127">
        <f t="shared" si="43"/>
        <v>9.234530528827255E-07</v>
      </c>
      <c r="W123" s="128"/>
      <c r="X123" s="129"/>
      <c r="Y123" s="129"/>
      <c r="Z123" s="285"/>
      <c r="AA123" s="127">
        <f t="shared" si="47"/>
        <v>1.270130954959039E-06</v>
      </c>
      <c r="AB123" s="130"/>
      <c r="AC123" s="131">
        <f>1/10^(8.1912-4.79*LOG(U123+3)+(LOG((4.2-$AF$5)/(4.2-1.5)))*(1/(0.4+0.00233*(U123+3)^3.23/($AF$4+1)^5.19)-1/(0.4+1094/($AF$4+1)^5.19)))</f>
        <v>1.5304728578489128E-06</v>
      </c>
      <c r="AD123" s="2" t="s">
        <v>23</v>
      </c>
      <c r="AE123" s="144">
        <f t="shared" si="3"/>
        <v>0</v>
      </c>
      <c r="AF123" s="130">
        <f t="shared" si="4"/>
        <v>3.7240568656906776E-06</v>
      </c>
      <c r="AG123" s="606"/>
      <c r="AH123" s="138" t="s">
        <v>23</v>
      </c>
      <c r="AI123" s="29"/>
      <c r="AJ123" s="33"/>
      <c r="AK123" s="588"/>
      <c r="AL123" s="21"/>
    </row>
    <row r="124" spans="1:38" ht="12.75" customHeight="1" hidden="1">
      <c r="A124" s="608"/>
      <c r="B124" s="608"/>
      <c r="C124" s="518"/>
      <c r="D124" s="2" t="s">
        <v>24</v>
      </c>
      <c r="E124" s="5"/>
      <c r="F124" s="14">
        <f>IF(E124=0,0,E124/SUM(E122:E125))</f>
        <v>0</v>
      </c>
      <c r="G124" s="5">
        <f t="shared" si="2"/>
        <v>0</v>
      </c>
      <c r="H124" s="8"/>
      <c r="I124" s="8"/>
      <c r="J124" s="8"/>
      <c r="K124" s="8"/>
      <c r="L124" s="8"/>
      <c r="M124" s="265"/>
      <c r="N124" s="86">
        <f t="shared" si="42"/>
        <v>0</v>
      </c>
      <c r="O124" s="87"/>
      <c r="P124" s="88"/>
      <c r="Q124" s="88"/>
      <c r="R124" s="276"/>
      <c r="S124" s="86">
        <f t="shared" si="49"/>
        <v>0</v>
      </c>
      <c r="T124" s="89"/>
      <c r="U124" s="90">
        <f>(K124+L124+M124)/1000*$AF$3</f>
        <v>0</v>
      </c>
      <c r="V124" s="127">
        <f t="shared" si="43"/>
        <v>9.234530528827255E-07</v>
      </c>
      <c r="W124" s="128"/>
      <c r="X124" s="129"/>
      <c r="Y124" s="129"/>
      <c r="Z124" s="285"/>
      <c r="AA124" s="127">
        <f t="shared" si="47"/>
        <v>1.270130954959039E-06</v>
      </c>
      <c r="AB124" s="130"/>
      <c r="AC124" s="131">
        <f>1/10^(8.1912-4.79*LOG(U124+3)+(LOG((4.2-$AF$5)/(4.2-1.5)))*(1/(0.4+0.00233*(U124+3)^3.23/($AF$4+1)^5.19)-1/(0.4+1094/($AF$4+1)^5.19)))</f>
        <v>1.5304728578489128E-06</v>
      </c>
      <c r="AD124" s="2" t="s">
        <v>24</v>
      </c>
      <c r="AE124" s="144">
        <f t="shared" si="3"/>
        <v>0</v>
      </c>
      <c r="AF124" s="130">
        <f t="shared" si="4"/>
        <v>3.7240568656906776E-06</v>
      </c>
      <c r="AG124" s="606"/>
      <c r="AH124" s="138" t="s">
        <v>24</v>
      </c>
      <c r="AI124" s="29"/>
      <c r="AJ124" s="33"/>
      <c r="AK124" s="588"/>
      <c r="AL124" s="21"/>
    </row>
    <row r="125" spans="1:38" ht="12.75" customHeight="1" hidden="1">
      <c r="A125" s="609"/>
      <c r="B125" s="609"/>
      <c r="C125" s="519"/>
      <c r="D125" s="3" t="s">
        <v>25</v>
      </c>
      <c r="E125" s="6"/>
      <c r="F125" s="15">
        <f>IF(E125=0,0,E125/SUM(E122:E125))</f>
        <v>0</v>
      </c>
      <c r="G125" s="6">
        <f t="shared" si="2"/>
        <v>0</v>
      </c>
      <c r="H125" s="9"/>
      <c r="I125" s="9"/>
      <c r="J125" s="9"/>
      <c r="K125" s="9"/>
      <c r="L125" s="9"/>
      <c r="M125" s="266"/>
      <c r="N125" s="91">
        <f t="shared" si="42"/>
        <v>0</v>
      </c>
      <c r="O125" s="92"/>
      <c r="P125" s="93"/>
      <c r="Q125" s="93"/>
      <c r="R125" s="277"/>
      <c r="S125" s="91">
        <f t="shared" si="49"/>
        <v>0</v>
      </c>
      <c r="T125" s="94"/>
      <c r="U125" s="95">
        <f>(K125+L125+M125)/1000*$AF$3</f>
        <v>0</v>
      </c>
      <c r="V125" s="132">
        <f t="shared" si="43"/>
        <v>9.234530528827255E-07</v>
      </c>
      <c r="W125" s="133"/>
      <c r="X125" s="134"/>
      <c r="Y125" s="134"/>
      <c r="Z125" s="286"/>
      <c r="AA125" s="132">
        <f t="shared" si="47"/>
        <v>1.270130954959039E-06</v>
      </c>
      <c r="AB125" s="135"/>
      <c r="AC125" s="136">
        <f>1/10^(8.1912-4.79*LOG(U125+3)+(LOG((4.2-$AF$5)/(4.2-1.5)))*(1/(0.4+0.00233*(U125+3)^3.23/($AF$4+1)^5.19)-1/(0.4+1094/($AF$4+1)^5.19)))</f>
        <v>1.5304728578489128E-06</v>
      </c>
      <c r="AD125" s="3" t="s">
        <v>25</v>
      </c>
      <c r="AE125" s="145">
        <f t="shared" si="3"/>
        <v>0</v>
      </c>
      <c r="AF125" s="135">
        <f t="shared" si="4"/>
        <v>3.7240568656906776E-06</v>
      </c>
      <c r="AG125" s="607"/>
      <c r="AH125" s="139" t="s">
        <v>25</v>
      </c>
      <c r="AI125" s="35"/>
      <c r="AJ125" s="39"/>
      <c r="AK125" s="589"/>
      <c r="AL125" s="21"/>
    </row>
    <row r="126" spans="1:38" ht="12.75" customHeight="1" hidden="1">
      <c r="A126" s="520">
        <v>22</v>
      </c>
      <c r="B126" s="520" t="s">
        <v>41</v>
      </c>
      <c r="C126" s="520"/>
      <c r="D126" s="22" t="s">
        <v>22</v>
      </c>
      <c r="E126" s="23"/>
      <c r="F126" s="24">
        <f>IF(E126=0,0,E126/SUM(E126:E129))</f>
        <v>0</v>
      </c>
      <c r="G126" s="23">
        <f t="shared" si="2"/>
        <v>0</v>
      </c>
      <c r="H126" s="25"/>
      <c r="I126" s="25"/>
      <c r="J126" s="25"/>
      <c r="K126" s="25"/>
      <c r="L126" s="25"/>
      <c r="M126" s="261"/>
      <c r="N126" s="96">
        <f aca="true" t="shared" si="50" ref="N126:N145">H126/1000*$AF$3</f>
        <v>0</v>
      </c>
      <c r="O126" s="97">
        <f aca="true" t="shared" si="51" ref="O126:P129">I126/1000*$AF$3</f>
        <v>0</v>
      </c>
      <c r="P126" s="97">
        <f t="shared" si="51"/>
        <v>0</v>
      </c>
      <c r="Q126" s="97"/>
      <c r="R126" s="278"/>
      <c r="S126" s="96">
        <f>(K126+L126)/1000*$AF$3</f>
        <v>0</v>
      </c>
      <c r="T126" s="98"/>
      <c r="U126" s="70"/>
      <c r="V126" s="107">
        <f t="shared" si="43"/>
        <v>9.234530528827255E-07</v>
      </c>
      <c r="W126" s="108">
        <f aca="true" t="shared" si="52" ref="W126:X133">1/10^(6.1252-4.79*LOG(O126+1)+(LOG((4.2-$AF$5)/(4.2-1.5)))*(1/(0.4+0.081*(O126+1)^3.23/($AF$4+1)^5.19)-1/(0.4+1094/($AF$4+1)^5.19)))</f>
        <v>9.234530528827255E-07</v>
      </c>
      <c r="X126" s="108">
        <f t="shared" si="52"/>
        <v>9.234530528827255E-07</v>
      </c>
      <c r="Y126" s="108"/>
      <c r="Z126" s="281"/>
      <c r="AA126" s="107">
        <f t="shared" si="47"/>
        <v>1.270130954959039E-06</v>
      </c>
      <c r="AB126" s="110"/>
      <c r="AC126" s="111"/>
      <c r="AD126" s="22" t="s">
        <v>22</v>
      </c>
      <c r="AE126" s="140">
        <f t="shared" si="3"/>
        <v>0</v>
      </c>
      <c r="AF126" s="110">
        <f t="shared" si="4"/>
        <v>4.040490113607216E-06</v>
      </c>
      <c r="AG126" s="593">
        <f>SUMPRODUCT(AE126:AE129,AF126:AF129)</f>
        <v>0</v>
      </c>
      <c r="AH126" s="137" t="s">
        <v>22</v>
      </c>
      <c r="AI126" s="23"/>
      <c r="AJ126" s="27"/>
      <c r="AK126" s="587">
        <f>IF(SUM(AI126:AI129)=0,0,SUM(AI126:AI129)/SUM(E126:E129))</f>
        <v>0</v>
      </c>
      <c r="AL126" s="21"/>
    </row>
    <row r="127" spans="1:38" ht="12.75" customHeight="1" hidden="1">
      <c r="A127" s="608"/>
      <c r="B127" s="608"/>
      <c r="C127" s="521"/>
      <c r="D127" s="28" t="s">
        <v>23</v>
      </c>
      <c r="E127" s="29"/>
      <c r="F127" s="30">
        <f>IF(E127=0,0,E127/SUM(E126:E129))</f>
        <v>0</v>
      </c>
      <c r="G127" s="29">
        <f aca="true" t="shared" si="53" ref="G127:G145">SUM(H127:M127)</f>
        <v>0</v>
      </c>
      <c r="H127" s="31"/>
      <c r="I127" s="31"/>
      <c r="J127" s="31"/>
      <c r="K127" s="31"/>
      <c r="L127" s="31"/>
      <c r="M127" s="262"/>
      <c r="N127" s="99">
        <f t="shared" si="50"/>
        <v>0</v>
      </c>
      <c r="O127" s="100">
        <f t="shared" si="51"/>
        <v>0</v>
      </c>
      <c r="P127" s="100">
        <f t="shared" si="51"/>
        <v>0</v>
      </c>
      <c r="Q127" s="100"/>
      <c r="R127" s="279"/>
      <c r="S127" s="99">
        <f>(K127+L127)/1000*$AF$3</f>
        <v>0</v>
      </c>
      <c r="T127" s="101"/>
      <c r="U127" s="75"/>
      <c r="V127" s="112">
        <f t="shared" si="43"/>
        <v>9.234530528827255E-07</v>
      </c>
      <c r="W127" s="113">
        <f t="shared" si="52"/>
        <v>9.234530528827255E-07</v>
      </c>
      <c r="X127" s="113">
        <f t="shared" si="52"/>
        <v>9.234530528827255E-07</v>
      </c>
      <c r="Y127" s="113"/>
      <c r="Z127" s="282"/>
      <c r="AA127" s="112">
        <f t="shared" si="47"/>
        <v>1.270130954959039E-06</v>
      </c>
      <c r="AB127" s="115"/>
      <c r="AC127" s="116"/>
      <c r="AD127" s="28" t="s">
        <v>23</v>
      </c>
      <c r="AE127" s="141">
        <f aca="true" t="shared" si="54" ref="AE127:AE145">F127</f>
        <v>0</v>
      </c>
      <c r="AF127" s="115">
        <f aca="true" t="shared" si="55" ref="AF127:AF145">SUM(V127:AC127)</f>
        <v>4.040490113607216E-06</v>
      </c>
      <c r="AG127" s="594"/>
      <c r="AH127" s="138" t="s">
        <v>23</v>
      </c>
      <c r="AI127" s="29"/>
      <c r="AJ127" s="33"/>
      <c r="AK127" s="588"/>
      <c r="AL127" s="21"/>
    </row>
    <row r="128" spans="1:38" ht="12.75" customHeight="1" hidden="1">
      <c r="A128" s="608"/>
      <c r="B128" s="608"/>
      <c r="C128" s="521"/>
      <c r="D128" s="28" t="s">
        <v>24</v>
      </c>
      <c r="E128" s="29"/>
      <c r="F128" s="30">
        <f>IF(E128=0,0,E128/SUM(E126:E129))</f>
        <v>0</v>
      </c>
      <c r="G128" s="29">
        <f t="shared" si="53"/>
        <v>0</v>
      </c>
      <c r="H128" s="31"/>
      <c r="I128" s="31"/>
      <c r="J128" s="31"/>
      <c r="K128" s="31"/>
      <c r="L128" s="31"/>
      <c r="M128" s="262"/>
      <c r="N128" s="99">
        <f t="shared" si="50"/>
        <v>0</v>
      </c>
      <c r="O128" s="100">
        <f t="shared" si="51"/>
        <v>0</v>
      </c>
      <c r="P128" s="100">
        <f t="shared" si="51"/>
        <v>0</v>
      </c>
      <c r="Q128" s="100"/>
      <c r="R128" s="279"/>
      <c r="S128" s="99">
        <f>(K128+L128)/1000*$AF$3</f>
        <v>0</v>
      </c>
      <c r="T128" s="101"/>
      <c r="U128" s="75"/>
      <c r="V128" s="112">
        <f t="shared" si="43"/>
        <v>9.234530528827255E-07</v>
      </c>
      <c r="W128" s="113">
        <f t="shared" si="52"/>
        <v>9.234530528827255E-07</v>
      </c>
      <c r="X128" s="113">
        <f t="shared" si="52"/>
        <v>9.234530528827255E-07</v>
      </c>
      <c r="Y128" s="113"/>
      <c r="Z128" s="282"/>
      <c r="AA128" s="112">
        <f t="shared" si="47"/>
        <v>1.270130954959039E-06</v>
      </c>
      <c r="AB128" s="115"/>
      <c r="AC128" s="116"/>
      <c r="AD128" s="28" t="s">
        <v>24</v>
      </c>
      <c r="AE128" s="141">
        <f t="shared" si="54"/>
        <v>0</v>
      </c>
      <c r="AF128" s="115">
        <f t="shared" si="55"/>
        <v>4.040490113607216E-06</v>
      </c>
      <c r="AG128" s="594"/>
      <c r="AH128" s="138" t="s">
        <v>24</v>
      </c>
      <c r="AI128" s="29"/>
      <c r="AJ128" s="33"/>
      <c r="AK128" s="588"/>
      <c r="AL128" s="21"/>
    </row>
    <row r="129" spans="1:38" ht="12.75" customHeight="1" hidden="1">
      <c r="A129" s="609"/>
      <c r="B129" s="609"/>
      <c r="C129" s="522"/>
      <c r="D129" s="34" t="s">
        <v>25</v>
      </c>
      <c r="E129" s="35"/>
      <c r="F129" s="36">
        <f>IF(E129=0,0,E129/SUM(E126:E129))</f>
        <v>0</v>
      </c>
      <c r="G129" s="35">
        <f t="shared" si="53"/>
        <v>0</v>
      </c>
      <c r="H129" s="37"/>
      <c r="I129" s="37"/>
      <c r="J129" s="37"/>
      <c r="K129" s="37"/>
      <c r="L129" s="37"/>
      <c r="M129" s="263"/>
      <c r="N129" s="102">
        <f t="shared" si="50"/>
        <v>0</v>
      </c>
      <c r="O129" s="103">
        <f t="shared" si="51"/>
        <v>0</v>
      </c>
      <c r="P129" s="103">
        <f t="shared" si="51"/>
        <v>0</v>
      </c>
      <c r="Q129" s="103"/>
      <c r="R129" s="280"/>
      <c r="S129" s="102">
        <f>(K129+L129)/1000*$AF$3</f>
        <v>0</v>
      </c>
      <c r="T129" s="104"/>
      <c r="U129" s="80"/>
      <c r="V129" s="117">
        <f t="shared" si="43"/>
        <v>9.234530528827255E-07</v>
      </c>
      <c r="W129" s="118">
        <f t="shared" si="52"/>
        <v>9.234530528827255E-07</v>
      </c>
      <c r="X129" s="118">
        <f t="shared" si="52"/>
        <v>9.234530528827255E-07</v>
      </c>
      <c r="Y129" s="118"/>
      <c r="Z129" s="283"/>
      <c r="AA129" s="117">
        <f t="shared" si="47"/>
        <v>1.270130954959039E-06</v>
      </c>
      <c r="AB129" s="120"/>
      <c r="AC129" s="121"/>
      <c r="AD129" s="34" t="s">
        <v>25</v>
      </c>
      <c r="AE129" s="142">
        <f t="shared" si="54"/>
        <v>0</v>
      </c>
      <c r="AF129" s="120">
        <f t="shared" si="55"/>
        <v>4.040490113607216E-06</v>
      </c>
      <c r="AG129" s="595"/>
      <c r="AH129" s="139" t="s">
        <v>25</v>
      </c>
      <c r="AI129" s="35"/>
      <c r="AJ129" s="39"/>
      <c r="AK129" s="589"/>
      <c r="AL129" s="21"/>
    </row>
    <row r="130" spans="1:38" ht="12.75" customHeight="1" hidden="1">
      <c r="A130" s="517">
        <v>23</v>
      </c>
      <c r="B130" s="517" t="s">
        <v>42</v>
      </c>
      <c r="C130" s="517"/>
      <c r="D130" s="1" t="s">
        <v>22</v>
      </c>
      <c r="E130" s="4"/>
      <c r="F130" s="13">
        <f>IF(E130=0,0,E130/SUM(E130:E133))</f>
        <v>0</v>
      </c>
      <c r="G130" s="4">
        <f t="shared" si="53"/>
        <v>0</v>
      </c>
      <c r="H130" s="7"/>
      <c r="I130" s="7"/>
      <c r="J130" s="7"/>
      <c r="K130" s="7"/>
      <c r="L130" s="7"/>
      <c r="M130" s="264"/>
      <c r="N130" s="81">
        <f t="shared" si="50"/>
        <v>0</v>
      </c>
      <c r="O130" s="82">
        <f aca="true" t="shared" si="56" ref="O130:P133">K130/1000*$AF$3</f>
        <v>0</v>
      </c>
      <c r="P130" s="83">
        <f t="shared" si="56"/>
        <v>0</v>
      </c>
      <c r="Q130" s="83"/>
      <c r="R130" s="275"/>
      <c r="S130" s="81">
        <f aca="true" t="shared" si="57" ref="S130:S137">(I130+J130)/1000*$AF$3</f>
        <v>0</v>
      </c>
      <c r="T130" s="84"/>
      <c r="U130" s="85"/>
      <c r="V130" s="122">
        <f t="shared" si="43"/>
        <v>9.234530528827255E-07</v>
      </c>
      <c r="W130" s="123">
        <f t="shared" si="52"/>
        <v>9.234530528827255E-07</v>
      </c>
      <c r="X130" s="124">
        <f t="shared" si="52"/>
        <v>9.234530528827255E-07</v>
      </c>
      <c r="Y130" s="124"/>
      <c r="Z130" s="284"/>
      <c r="AA130" s="122">
        <f t="shared" si="47"/>
        <v>1.270130954959039E-06</v>
      </c>
      <c r="AB130" s="125"/>
      <c r="AC130" s="126"/>
      <c r="AD130" s="1" t="s">
        <v>22</v>
      </c>
      <c r="AE130" s="143">
        <f t="shared" si="54"/>
        <v>0</v>
      </c>
      <c r="AF130" s="125">
        <f t="shared" si="55"/>
        <v>4.040490113607216E-06</v>
      </c>
      <c r="AG130" s="605">
        <f>SUMPRODUCT(AE130:AE133,AF130:AF133)</f>
        <v>0</v>
      </c>
      <c r="AH130" s="137" t="s">
        <v>22</v>
      </c>
      <c r="AI130" s="23"/>
      <c r="AJ130" s="27"/>
      <c r="AK130" s="587">
        <f>IF(SUM(AI130:AI133)=0,0,SUM(AI130:AI133)/SUM(E130:E133))</f>
        <v>0</v>
      </c>
      <c r="AL130" s="21"/>
    </row>
    <row r="131" spans="1:38" ht="12.75" customHeight="1" hidden="1">
      <c r="A131" s="608"/>
      <c r="B131" s="608"/>
      <c r="C131" s="518"/>
      <c r="D131" s="2" t="s">
        <v>23</v>
      </c>
      <c r="E131" s="5"/>
      <c r="F131" s="14">
        <f>IF(E131=0,0,E131/SUM(E130:E133))</f>
        <v>0</v>
      </c>
      <c r="G131" s="5">
        <f t="shared" si="53"/>
        <v>0</v>
      </c>
      <c r="H131" s="8"/>
      <c r="I131" s="8"/>
      <c r="J131" s="8"/>
      <c r="K131" s="8"/>
      <c r="L131" s="8"/>
      <c r="M131" s="265"/>
      <c r="N131" s="86">
        <f t="shared" si="50"/>
        <v>0</v>
      </c>
      <c r="O131" s="87">
        <f t="shared" si="56"/>
        <v>0</v>
      </c>
      <c r="P131" s="88">
        <f t="shared" si="56"/>
        <v>0</v>
      </c>
      <c r="Q131" s="88"/>
      <c r="R131" s="276"/>
      <c r="S131" s="86">
        <f t="shared" si="57"/>
        <v>0</v>
      </c>
      <c r="T131" s="89"/>
      <c r="U131" s="90"/>
      <c r="V131" s="127">
        <f t="shared" si="43"/>
        <v>9.234530528827255E-07</v>
      </c>
      <c r="W131" s="128">
        <f t="shared" si="52"/>
        <v>9.234530528827255E-07</v>
      </c>
      <c r="X131" s="129">
        <f t="shared" si="52"/>
        <v>9.234530528827255E-07</v>
      </c>
      <c r="Y131" s="129"/>
      <c r="Z131" s="285"/>
      <c r="AA131" s="127">
        <f t="shared" si="47"/>
        <v>1.270130954959039E-06</v>
      </c>
      <c r="AB131" s="130"/>
      <c r="AC131" s="131"/>
      <c r="AD131" s="2" t="s">
        <v>23</v>
      </c>
      <c r="AE131" s="144">
        <f t="shared" si="54"/>
        <v>0</v>
      </c>
      <c r="AF131" s="130">
        <f t="shared" si="55"/>
        <v>4.040490113607216E-06</v>
      </c>
      <c r="AG131" s="606"/>
      <c r="AH131" s="138" t="s">
        <v>23</v>
      </c>
      <c r="AI131" s="29"/>
      <c r="AJ131" s="33"/>
      <c r="AK131" s="588"/>
      <c r="AL131" s="21"/>
    </row>
    <row r="132" spans="1:38" ht="12.75" customHeight="1" hidden="1">
      <c r="A132" s="608"/>
      <c r="B132" s="608"/>
      <c r="C132" s="518"/>
      <c r="D132" s="2" t="s">
        <v>24</v>
      </c>
      <c r="E132" s="5"/>
      <c r="F132" s="14">
        <f>IF(E132=0,0,E132/SUM(E130:E133))</f>
        <v>0</v>
      </c>
      <c r="G132" s="5">
        <f t="shared" si="53"/>
        <v>0</v>
      </c>
      <c r="H132" s="8"/>
      <c r="I132" s="8"/>
      <c r="J132" s="8"/>
      <c r="K132" s="8"/>
      <c r="L132" s="8"/>
      <c r="M132" s="265"/>
      <c r="N132" s="86">
        <f t="shared" si="50"/>
        <v>0</v>
      </c>
      <c r="O132" s="87">
        <f t="shared" si="56"/>
        <v>0</v>
      </c>
      <c r="P132" s="88">
        <f t="shared" si="56"/>
        <v>0</v>
      </c>
      <c r="Q132" s="88"/>
      <c r="R132" s="276"/>
      <c r="S132" s="86">
        <f t="shared" si="57"/>
        <v>0</v>
      </c>
      <c r="T132" s="89"/>
      <c r="U132" s="90"/>
      <c r="V132" s="127">
        <f t="shared" si="43"/>
        <v>9.234530528827255E-07</v>
      </c>
      <c r="W132" s="128">
        <f t="shared" si="52"/>
        <v>9.234530528827255E-07</v>
      </c>
      <c r="X132" s="129">
        <f t="shared" si="52"/>
        <v>9.234530528827255E-07</v>
      </c>
      <c r="Y132" s="129"/>
      <c r="Z132" s="285"/>
      <c r="AA132" s="127">
        <f t="shared" si="47"/>
        <v>1.270130954959039E-06</v>
      </c>
      <c r="AB132" s="130"/>
      <c r="AC132" s="131"/>
      <c r="AD132" s="2" t="s">
        <v>24</v>
      </c>
      <c r="AE132" s="144">
        <f t="shared" si="54"/>
        <v>0</v>
      </c>
      <c r="AF132" s="130">
        <f t="shared" si="55"/>
        <v>4.040490113607216E-06</v>
      </c>
      <c r="AG132" s="606"/>
      <c r="AH132" s="138" t="s">
        <v>24</v>
      </c>
      <c r="AI132" s="29"/>
      <c r="AJ132" s="33"/>
      <c r="AK132" s="588"/>
      <c r="AL132" s="21"/>
    </row>
    <row r="133" spans="1:38" ht="12.75" customHeight="1" hidden="1">
      <c r="A133" s="609"/>
      <c r="B133" s="609"/>
      <c r="C133" s="519"/>
      <c r="D133" s="3" t="s">
        <v>25</v>
      </c>
      <c r="E133" s="6"/>
      <c r="F133" s="15">
        <f>IF(E133=0,0,E133/SUM(E130:E133))</f>
        <v>0</v>
      </c>
      <c r="G133" s="6">
        <f t="shared" si="53"/>
        <v>0</v>
      </c>
      <c r="H133" s="9"/>
      <c r="I133" s="9"/>
      <c r="J133" s="9"/>
      <c r="K133" s="9"/>
      <c r="L133" s="9"/>
      <c r="M133" s="266"/>
      <c r="N133" s="91">
        <f t="shared" si="50"/>
        <v>0</v>
      </c>
      <c r="O133" s="92">
        <f t="shared" si="56"/>
        <v>0</v>
      </c>
      <c r="P133" s="93">
        <f t="shared" si="56"/>
        <v>0</v>
      </c>
      <c r="Q133" s="93"/>
      <c r="R133" s="277"/>
      <c r="S133" s="91">
        <f t="shared" si="57"/>
        <v>0</v>
      </c>
      <c r="T133" s="94"/>
      <c r="U133" s="95"/>
      <c r="V133" s="132">
        <f t="shared" si="43"/>
        <v>9.234530528827255E-07</v>
      </c>
      <c r="W133" s="133">
        <f t="shared" si="52"/>
        <v>9.234530528827255E-07</v>
      </c>
      <c r="X133" s="134">
        <f t="shared" si="52"/>
        <v>9.234530528827255E-07</v>
      </c>
      <c r="Y133" s="134"/>
      <c r="Z133" s="286"/>
      <c r="AA133" s="132">
        <f t="shared" si="47"/>
        <v>1.270130954959039E-06</v>
      </c>
      <c r="AB133" s="135"/>
      <c r="AC133" s="136"/>
      <c r="AD133" s="3" t="s">
        <v>25</v>
      </c>
      <c r="AE133" s="145">
        <f t="shared" si="54"/>
        <v>0</v>
      </c>
      <c r="AF133" s="135">
        <f t="shared" si="55"/>
        <v>4.040490113607216E-06</v>
      </c>
      <c r="AG133" s="607"/>
      <c r="AH133" s="139" t="s">
        <v>25</v>
      </c>
      <c r="AI133" s="35"/>
      <c r="AJ133" s="39"/>
      <c r="AK133" s="589"/>
      <c r="AL133" s="21"/>
    </row>
    <row r="134" spans="1:38" ht="12.75" customHeight="1" hidden="1">
      <c r="A134" s="520">
        <v>24</v>
      </c>
      <c r="B134" s="520" t="s">
        <v>43</v>
      </c>
      <c r="C134" s="520"/>
      <c r="D134" s="22" t="s">
        <v>22</v>
      </c>
      <c r="E134" s="23"/>
      <c r="F134" s="24">
        <f>IF(E134=0,0,E134/SUM(E134:E137))</f>
        <v>0</v>
      </c>
      <c r="G134" s="23">
        <f t="shared" si="53"/>
        <v>0</v>
      </c>
      <c r="H134" s="25"/>
      <c r="I134" s="25"/>
      <c r="J134" s="25"/>
      <c r="K134" s="25"/>
      <c r="L134" s="25"/>
      <c r="M134" s="261"/>
      <c r="N134" s="66">
        <f t="shared" si="50"/>
        <v>0</v>
      </c>
      <c r="O134" s="67">
        <f>K134/1000*$AF$3</f>
        <v>0</v>
      </c>
      <c r="P134" s="68"/>
      <c r="Q134" s="68"/>
      <c r="R134" s="272"/>
      <c r="S134" s="66">
        <f t="shared" si="57"/>
        <v>0</v>
      </c>
      <c r="T134" s="69">
        <f>(L134+M134)/1000*$AF$3</f>
        <v>0</v>
      </c>
      <c r="U134" s="70"/>
      <c r="V134" s="107">
        <f t="shared" si="43"/>
        <v>9.234530528827255E-07</v>
      </c>
      <c r="W134" s="108">
        <f aca="true" t="shared" si="58" ref="W134:W145">1/10^(6.1252-4.79*LOG(O134+1)+(LOG((4.2-$AF$5)/(4.2-1.5)))*(1/(0.4+0.081*(O134+1)^3.23/($AF$4+1)^5.19)-1/(0.4+1094/($AF$4+1)^5.19)))</f>
        <v>9.234530528827255E-07</v>
      </c>
      <c r="X134" s="109"/>
      <c r="Y134" s="109"/>
      <c r="Z134" s="281"/>
      <c r="AA134" s="107">
        <f t="shared" si="47"/>
        <v>1.270130954959039E-06</v>
      </c>
      <c r="AB134" s="110">
        <f>1/10^(7.4287-4.79*LOG(T134+2)+(LOG((4.2-$AF$5)/(4.2-1.5)))*(1/(0.4+0.008633*(T134+2)^3.23/($AF$4+1)^5.19)-1/(0.4+1094/($AF$4+1)^5.19)))</f>
        <v>1.270130954959039E-06</v>
      </c>
      <c r="AC134" s="111"/>
      <c r="AD134" s="22" t="s">
        <v>22</v>
      </c>
      <c r="AE134" s="140">
        <f t="shared" si="54"/>
        <v>0</v>
      </c>
      <c r="AF134" s="110">
        <f t="shared" si="55"/>
        <v>4.387168015683529E-06</v>
      </c>
      <c r="AG134" s="593">
        <f>SUMPRODUCT(AE134:AE137,AF134:AF137)</f>
        <v>0</v>
      </c>
      <c r="AH134" s="137" t="s">
        <v>22</v>
      </c>
      <c r="AI134" s="23"/>
      <c r="AJ134" s="27"/>
      <c r="AK134" s="587">
        <f>IF(SUM(AI134:AI137)=0,0,SUM(AI134:AI137)/SUM(E134:E137))</f>
        <v>0</v>
      </c>
      <c r="AL134" s="21"/>
    </row>
    <row r="135" spans="1:38" ht="12.75" customHeight="1" hidden="1">
      <c r="A135" s="608"/>
      <c r="B135" s="608"/>
      <c r="C135" s="521"/>
      <c r="D135" s="28" t="s">
        <v>23</v>
      </c>
      <c r="E135" s="29"/>
      <c r="F135" s="30">
        <f>IF(E135=0,0,E135/SUM(E134:E137))</f>
        <v>0</v>
      </c>
      <c r="G135" s="29">
        <f t="shared" si="53"/>
        <v>0</v>
      </c>
      <c r="H135" s="31"/>
      <c r="I135" s="31"/>
      <c r="J135" s="31"/>
      <c r="K135" s="31"/>
      <c r="L135" s="31"/>
      <c r="M135" s="262"/>
      <c r="N135" s="71">
        <f t="shared" si="50"/>
        <v>0</v>
      </c>
      <c r="O135" s="72">
        <f>K135/1000*$AF$3</f>
        <v>0</v>
      </c>
      <c r="P135" s="73"/>
      <c r="Q135" s="73"/>
      <c r="R135" s="273"/>
      <c r="S135" s="71">
        <f t="shared" si="57"/>
        <v>0</v>
      </c>
      <c r="T135" s="74">
        <f>(L135+M135)/1000*$AF$3</f>
        <v>0</v>
      </c>
      <c r="U135" s="75"/>
      <c r="V135" s="112">
        <f t="shared" si="43"/>
        <v>9.234530528827255E-07</v>
      </c>
      <c r="W135" s="113">
        <f t="shared" si="58"/>
        <v>9.234530528827255E-07</v>
      </c>
      <c r="X135" s="114"/>
      <c r="Y135" s="114"/>
      <c r="Z135" s="282"/>
      <c r="AA135" s="112">
        <f t="shared" si="47"/>
        <v>1.270130954959039E-06</v>
      </c>
      <c r="AB135" s="115">
        <f>1/10^(7.4287-4.79*LOG(T135+2)+(LOG((4.2-$AF$5)/(4.2-1.5)))*(1/(0.4+0.008633*(T135+2)^3.23/($AF$4+1)^5.19)-1/(0.4+1094/($AF$4+1)^5.19)))</f>
        <v>1.270130954959039E-06</v>
      </c>
      <c r="AC135" s="116"/>
      <c r="AD135" s="28" t="s">
        <v>23</v>
      </c>
      <c r="AE135" s="141">
        <f t="shared" si="54"/>
        <v>0</v>
      </c>
      <c r="AF135" s="115">
        <f t="shared" si="55"/>
        <v>4.387168015683529E-06</v>
      </c>
      <c r="AG135" s="594"/>
      <c r="AH135" s="138" t="s">
        <v>23</v>
      </c>
      <c r="AI135" s="29"/>
      <c r="AJ135" s="33"/>
      <c r="AK135" s="588"/>
      <c r="AL135" s="21"/>
    </row>
    <row r="136" spans="1:38" ht="12.75" customHeight="1" hidden="1">
      <c r="A136" s="608"/>
      <c r="B136" s="608"/>
      <c r="C136" s="521"/>
      <c r="D136" s="28" t="s">
        <v>24</v>
      </c>
      <c r="E136" s="29"/>
      <c r="F136" s="30">
        <f>IF(E136=0,0,E136/SUM(E134:E137))</f>
        <v>0</v>
      </c>
      <c r="G136" s="29">
        <f t="shared" si="53"/>
        <v>0</v>
      </c>
      <c r="H136" s="31"/>
      <c r="I136" s="31"/>
      <c r="J136" s="31"/>
      <c r="K136" s="31"/>
      <c r="L136" s="31"/>
      <c r="M136" s="262"/>
      <c r="N136" s="71">
        <f t="shared" si="50"/>
        <v>0</v>
      </c>
      <c r="O136" s="72">
        <f>K136/1000*$AF$3</f>
        <v>0</v>
      </c>
      <c r="P136" s="73"/>
      <c r="Q136" s="73"/>
      <c r="R136" s="273"/>
      <c r="S136" s="71">
        <f t="shared" si="57"/>
        <v>0</v>
      </c>
      <c r="T136" s="74">
        <f>(L136+M136)/1000*$AF$3</f>
        <v>0</v>
      </c>
      <c r="U136" s="75"/>
      <c r="V136" s="112">
        <f t="shared" si="43"/>
        <v>9.234530528827255E-07</v>
      </c>
      <c r="W136" s="113">
        <f t="shared" si="58"/>
        <v>9.234530528827255E-07</v>
      </c>
      <c r="X136" s="114"/>
      <c r="Y136" s="114"/>
      <c r="Z136" s="282"/>
      <c r="AA136" s="112">
        <f t="shared" si="47"/>
        <v>1.270130954959039E-06</v>
      </c>
      <c r="AB136" s="115">
        <f>1/10^(7.4287-4.79*LOG(T136+2)+(LOG((4.2-$AF$5)/(4.2-1.5)))*(1/(0.4+0.008633*(T136+2)^3.23/($AF$4+1)^5.19)-1/(0.4+1094/($AF$4+1)^5.19)))</f>
        <v>1.270130954959039E-06</v>
      </c>
      <c r="AC136" s="116"/>
      <c r="AD136" s="28" t="s">
        <v>24</v>
      </c>
      <c r="AE136" s="141">
        <f t="shared" si="54"/>
        <v>0</v>
      </c>
      <c r="AF136" s="115">
        <f t="shared" si="55"/>
        <v>4.387168015683529E-06</v>
      </c>
      <c r="AG136" s="594"/>
      <c r="AH136" s="138" t="s">
        <v>24</v>
      </c>
      <c r="AI136" s="29"/>
      <c r="AJ136" s="33"/>
      <c r="AK136" s="588"/>
      <c r="AL136" s="21"/>
    </row>
    <row r="137" spans="1:38" ht="12.75" customHeight="1" hidden="1">
      <c r="A137" s="609"/>
      <c r="B137" s="609"/>
      <c r="C137" s="522"/>
      <c r="D137" s="34" t="s">
        <v>25</v>
      </c>
      <c r="E137" s="35"/>
      <c r="F137" s="36">
        <f>IF(E137=0,0,E137/SUM(E134:E137))</f>
        <v>0</v>
      </c>
      <c r="G137" s="35">
        <f t="shared" si="53"/>
        <v>0</v>
      </c>
      <c r="H137" s="37"/>
      <c r="I137" s="37"/>
      <c r="J137" s="37"/>
      <c r="K137" s="37"/>
      <c r="L137" s="37"/>
      <c r="M137" s="263"/>
      <c r="N137" s="76">
        <f t="shared" si="50"/>
        <v>0</v>
      </c>
      <c r="O137" s="77">
        <f>K137/1000*$AF$3</f>
        <v>0</v>
      </c>
      <c r="P137" s="78"/>
      <c r="Q137" s="78"/>
      <c r="R137" s="274"/>
      <c r="S137" s="76">
        <f t="shared" si="57"/>
        <v>0</v>
      </c>
      <c r="T137" s="79">
        <f>(L137+M137)/1000*$AF$3</f>
        <v>0</v>
      </c>
      <c r="U137" s="80"/>
      <c r="V137" s="117">
        <f t="shared" si="43"/>
        <v>9.234530528827255E-07</v>
      </c>
      <c r="W137" s="118">
        <f t="shared" si="58"/>
        <v>9.234530528827255E-07</v>
      </c>
      <c r="X137" s="119"/>
      <c r="Y137" s="119"/>
      <c r="Z137" s="283"/>
      <c r="AA137" s="117">
        <f t="shared" si="47"/>
        <v>1.270130954959039E-06</v>
      </c>
      <c r="AB137" s="120">
        <f>1/10^(7.4287-4.79*LOG(T137+2)+(LOG((4.2-$AF$5)/(4.2-1.5)))*(1/(0.4+0.008633*(T137+2)^3.23/($AF$4+1)^5.19)-1/(0.4+1094/($AF$4+1)^5.19)))</f>
        <v>1.270130954959039E-06</v>
      </c>
      <c r="AC137" s="121"/>
      <c r="AD137" s="34" t="s">
        <v>25</v>
      </c>
      <c r="AE137" s="142">
        <f t="shared" si="54"/>
        <v>0</v>
      </c>
      <c r="AF137" s="120">
        <f t="shared" si="55"/>
        <v>4.387168015683529E-06</v>
      </c>
      <c r="AG137" s="595"/>
      <c r="AH137" s="139" t="s">
        <v>25</v>
      </c>
      <c r="AI137" s="35"/>
      <c r="AJ137" s="39"/>
      <c r="AK137" s="589"/>
      <c r="AL137" s="21"/>
    </row>
    <row r="138" spans="1:38" ht="12.75" customHeight="1" hidden="1">
      <c r="A138" s="517">
        <v>25</v>
      </c>
      <c r="B138" s="517" t="s">
        <v>44</v>
      </c>
      <c r="C138" s="517"/>
      <c r="D138" s="1" t="s">
        <v>22</v>
      </c>
      <c r="E138" s="4"/>
      <c r="F138" s="13">
        <f>IF(E138=0,0,E138/SUM(E138:E141))</f>
        <v>0</v>
      </c>
      <c r="G138" s="4">
        <f t="shared" si="53"/>
        <v>0</v>
      </c>
      <c r="H138" s="7"/>
      <c r="I138" s="7"/>
      <c r="J138" s="7"/>
      <c r="K138" s="7"/>
      <c r="L138" s="7"/>
      <c r="M138" s="264"/>
      <c r="N138" s="81">
        <f t="shared" si="50"/>
        <v>0</v>
      </c>
      <c r="O138" s="82">
        <f aca="true" t="shared" si="59" ref="O138:R141">I138/1000*$AF$3</f>
        <v>0</v>
      </c>
      <c r="P138" s="83">
        <f t="shared" si="59"/>
        <v>0</v>
      </c>
      <c r="Q138" s="83">
        <f t="shared" si="59"/>
        <v>0</v>
      </c>
      <c r="R138" s="275">
        <f t="shared" si="59"/>
        <v>0</v>
      </c>
      <c r="S138" s="81"/>
      <c r="T138" s="84"/>
      <c r="U138" s="85"/>
      <c r="V138" s="122">
        <f t="shared" si="43"/>
        <v>9.234530528827255E-07</v>
      </c>
      <c r="W138" s="123">
        <f t="shared" si="58"/>
        <v>9.234530528827255E-07</v>
      </c>
      <c r="X138" s="124">
        <f aca="true" t="shared" si="60" ref="X138:Z141">1/10^(6.1252-4.79*LOG(P138+1)+(LOG((4.2-$AF$5)/(4.2-1.5)))*(1/(0.4+0.081*(P138+1)^3.23/($AF$4+1)^5.19)-1/(0.4+1094/($AF$4+1)^5.19)))</f>
        <v>9.234530528827255E-07</v>
      </c>
      <c r="Y138" s="124">
        <f t="shared" si="60"/>
        <v>9.234530528827255E-07</v>
      </c>
      <c r="Z138" s="284">
        <f t="shared" si="60"/>
        <v>9.234530528827255E-07</v>
      </c>
      <c r="AA138" s="122"/>
      <c r="AB138" s="125"/>
      <c r="AC138" s="126"/>
      <c r="AD138" s="1" t="s">
        <v>22</v>
      </c>
      <c r="AE138" s="143">
        <f t="shared" si="54"/>
        <v>0</v>
      </c>
      <c r="AF138" s="125">
        <f t="shared" si="55"/>
        <v>4.617265264413627E-06</v>
      </c>
      <c r="AG138" s="605">
        <f>SUMPRODUCT(AE138:AE141,AF138:AF141)</f>
        <v>0</v>
      </c>
      <c r="AH138" s="137" t="s">
        <v>22</v>
      </c>
      <c r="AI138" s="23"/>
      <c r="AJ138" s="27"/>
      <c r="AK138" s="587">
        <f>IF(SUM(AI138:AI141)=0,0,SUM(AI138:AI141)/SUM(E138:E141))</f>
        <v>0</v>
      </c>
      <c r="AL138" s="21"/>
    </row>
    <row r="139" spans="1:38" ht="12.75" customHeight="1" hidden="1">
      <c r="A139" s="608"/>
      <c r="B139" s="608"/>
      <c r="C139" s="518"/>
      <c r="D139" s="2" t="s">
        <v>23</v>
      </c>
      <c r="E139" s="5"/>
      <c r="F139" s="14">
        <f>IF(E139=0,0,E139/SUM(E138:E141))</f>
        <v>0</v>
      </c>
      <c r="G139" s="5">
        <f t="shared" si="53"/>
        <v>0</v>
      </c>
      <c r="H139" s="8"/>
      <c r="I139" s="8"/>
      <c r="J139" s="8"/>
      <c r="K139" s="8"/>
      <c r="L139" s="8"/>
      <c r="M139" s="265"/>
      <c r="N139" s="86">
        <f t="shared" si="50"/>
        <v>0</v>
      </c>
      <c r="O139" s="87">
        <f t="shared" si="59"/>
        <v>0</v>
      </c>
      <c r="P139" s="88">
        <f t="shared" si="59"/>
        <v>0</v>
      </c>
      <c r="Q139" s="88">
        <f t="shared" si="59"/>
        <v>0</v>
      </c>
      <c r="R139" s="276">
        <f t="shared" si="59"/>
        <v>0</v>
      </c>
      <c r="S139" s="86"/>
      <c r="T139" s="89"/>
      <c r="U139" s="90"/>
      <c r="V139" s="127">
        <f t="shared" si="43"/>
        <v>9.234530528827255E-07</v>
      </c>
      <c r="W139" s="128">
        <f t="shared" si="58"/>
        <v>9.234530528827255E-07</v>
      </c>
      <c r="X139" s="129">
        <f t="shared" si="60"/>
        <v>9.234530528827255E-07</v>
      </c>
      <c r="Y139" s="129">
        <f t="shared" si="60"/>
        <v>9.234530528827255E-07</v>
      </c>
      <c r="Z139" s="285">
        <f t="shared" si="60"/>
        <v>9.234530528827255E-07</v>
      </c>
      <c r="AA139" s="127"/>
      <c r="AB139" s="130"/>
      <c r="AC139" s="131"/>
      <c r="AD139" s="2" t="s">
        <v>23</v>
      </c>
      <c r="AE139" s="144">
        <f t="shared" si="54"/>
        <v>0</v>
      </c>
      <c r="AF139" s="130">
        <f t="shared" si="55"/>
        <v>4.617265264413627E-06</v>
      </c>
      <c r="AG139" s="606"/>
      <c r="AH139" s="138" t="s">
        <v>23</v>
      </c>
      <c r="AI139" s="29"/>
      <c r="AJ139" s="33"/>
      <c r="AK139" s="588"/>
      <c r="AL139" s="21"/>
    </row>
    <row r="140" spans="1:38" ht="12.75" customHeight="1" hidden="1">
      <c r="A140" s="608"/>
      <c r="B140" s="608"/>
      <c r="C140" s="518"/>
      <c r="D140" s="2" t="s">
        <v>24</v>
      </c>
      <c r="E140" s="5"/>
      <c r="F140" s="14">
        <f>IF(E140=0,0,E140/SUM(E138:E141))</f>
        <v>0</v>
      </c>
      <c r="G140" s="5">
        <f t="shared" si="53"/>
        <v>0</v>
      </c>
      <c r="H140" s="8"/>
      <c r="I140" s="8"/>
      <c r="J140" s="8"/>
      <c r="K140" s="8"/>
      <c r="L140" s="8"/>
      <c r="M140" s="265"/>
      <c r="N140" s="86">
        <f t="shared" si="50"/>
        <v>0</v>
      </c>
      <c r="O140" s="87">
        <f t="shared" si="59"/>
        <v>0</v>
      </c>
      <c r="P140" s="88">
        <f t="shared" si="59"/>
        <v>0</v>
      </c>
      <c r="Q140" s="88">
        <f t="shared" si="59"/>
        <v>0</v>
      </c>
      <c r="R140" s="276">
        <f t="shared" si="59"/>
        <v>0</v>
      </c>
      <c r="S140" s="86"/>
      <c r="T140" s="89"/>
      <c r="U140" s="90"/>
      <c r="V140" s="127">
        <f t="shared" si="43"/>
        <v>9.234530528827255E-07</v>
      </c>
      <c r="W140" s="128">
        <f t="shared" si="58"/>
        <v>9.234530528827255E-07</v>
      </c>
      <c r="X140" s="129">
        <f t="shared" si="60"/>
        <v>9.234530528827255E-07</v>
      </c>
      <c r="Y140" s="129">
        <f t="shared" si="60"/>
        <v>9.234530528827255E-07</v>
      </c>
      <c r="Z140" s="285">
        <f t="shared" si="60"/>
        <v>9.234530528827255E-07</v>
      </c>
      <c r="AA140" s="127"/>
      <c r="AB140" s="130"/>
      <c r="AC140" s="131"/>
      <c r="AD140" s="2" t="s">
        <v>24</v>
      </c>
      <c r="AE140" s="144">
        <f t="shared" si="54"/>
        <v>0</v>
      </c>
      <c r="AF140" s="130">
        <f t="shared" si="55"/>
        <v>4.617265264413627E-06</v>
      </c>
      <c r="AG140" s="606"/>
      <c r="AH140" s="138" t="s">
        <v>24</v>
      </c>
      <c r="AI140" s="29"/>
      <c r="AJ140" s="33"/>
      <c r="AK140" s="588"/>
      <c r="AL140" s="21"/>
    </row>
    <row r="141" spans="1:38" ht="12.75" customHeight="1" hidden="1">
      <c r="A141" s="609"/>
      <c r="B141" s="609"/>
      <c r="C141" s="519"/>
      <c r="D141" s="3" t="s">
        <v>25</v>
      </c>
      <c r="E141" s="6"/>
      <c r="F141" s="15">
        <f>IF(E141=0,0,E141/SUM(E138:E141))</f>
        <v>0</v>
      </c>
      <c r="G141" s="6">
        <f t="shared" si="53"/>
        <v>0</v>
      </c>
      <c r="H141" s="9"/>
      <c r="I141" s="9"/>
      <c r="J141" s="9"/>
      <c r="K141" s="9"/>
      <c r="L141" s="9"/>
      <c r="M141" s="266"/>
      <c r="N141" s="91">
        <f t="shared" si="50"/>
        <v>0</v>
      </c>
      <c r="O141" s="92">
        <f t="shared" si="59"/>
        <v>0</v>
      </c>
      <c r="P141" s="93">
        <f t="shared" si="59"/>
        <v>0</v>
      </c>
      <c r="Q141" s="93">
        <f t="shared" si="59"/>
        <v>0</v>
      </c>
      <c r="R141" s="277">
        <f t="shared" si="59"/>
        <v>0</v>
      </c>
      <c r="S141" s="91"/>
      <c r="T141" s="94"/>
      <c r="U141" s="95"/>
      <c r="V141" s="132">
        <f t="shared" si="43"/>
        <v>9.234530528827255E-07</v>
      </c>
      <c r="W141" s="133">
        <f t="shared" si="58"/>
        <v>9.234530528827255E-07</v>
      </c>
      <c r="X141" s="134">
        <f t="shared" si="60"/>
        <v>9.234530528827255E-07</v>
      </c>
      <c r="Y141" s="134">
        <f t="shared" si="60"/>
        <v>9.234530528827255E-07</v>
      </c>
      <c r="Z141" s="286">
        <f t="shared" si="60"/>
        <v>9.234530528827255E-07</v>
      </c>
      <c r="AA141" s="132"/>
      <c r="AB141" s="135"/>
      <c r="AC141" s="136"/>
      <c r="AD141" s="3" t="s">
        <v>25</v>
      </c>
      <c r="AE141" s="145">
        <f t="shared" si="54"/>
        <v>0</v>
      </c>
      <c r="AF141" s="135">
        <f t="shared" si="55"/>
        <v>4.617265264413627E-06</v>
      </c>
      <c r="AG141" s="607"/>
      <c r="AH141" s="139" t="s">
        <v>25</v>
      </c>
      <c r="AI141" s="35"/>
      <c r="AJ141" s="39"/>
      <c r="AK141" s="589"/>
      <c r="AL141" s="21"/>
    </row>
    <row r="142" spans="1:38" ht="12.75" customHeight="1" hidden="1">
      <c r="A142" s="520">
        <v>26</v>
      </c>
      <c r="B142" s="520" t="s">
        <v>45</v>
      </c>
      <c r="C142" s="520"/>
      <c r="D142" s="22" t="s">
        <v>22</v>
      </c>
      <c r="E142" s="23"/>
      <c r="F142" s="24">
        <f>IF(E142=0,0,E142/SUM(E142:E145))</f>
        <v>0</v>
      </c>
      <c r="G142" s="23">
        <f t="shared" si="53"/>
        <v>0</v>
      </c>
      <c r="H142" s="25"/>
      <c r="I142" s="25"/>
      <c r="J142" s="25"/>
      <c r="K142" s="25"/>
      <c r="L142" s="25"/>
      <c r="M142" s="261"/>
      <c r="N142" s="66">
        <f t="shared" si="50"/>
        <v>0</v>
      </c>
      <c r="O142" s="67">
        <f aca="true" t="shared" si="61" ref="O142:Q145">K142/1000*$AF$3</f>
        <v>0</v>
      </c>
      <c r="P142" s="67">
        <f t="shared" si="61"/>
        <v>0</v>
      </c>
      <c r="Q142" s="67">
        <f t="shared" si="61"/>
        <v>0</v>
      </c>
      <c r="R142" s="272"/>
      <c r="S142" s="66">
        <f>(I142+J142)/1000*$AF$3</f>
        <v>0</v>
      </c>
      <c r="T142" s="69"/>
      <c r="U142" s="70"/>
      <c r="V142" s="107">
        <f t="shared" si="43"/>
        <v>9.234530528827255E-07</v>
      </c>
      <c r="W142" s="108">
        <f t="shared" si="58"/>
        <v>9.234530528827255E-07</v>
      </c>
      <c r="X142" s="109">
        <f aca="true" t="shared" si="62" ref="X142:Y145">1/10^(6.1252-4.79*LOG(P142+1)+(LOG((4.2-$AF$5)/(4.2-1.5)))*(1/(0.4+0.081*(P142+1)^3.23/($AF$4+1)^5.19)-1/(0.4+1094/($AF$4+1)^5.19)))</f>
        <v>9.234530528827255E-07</v>
      </c>
      <c r="Y142" s="109">
        <f t="shared" si="62"/>
        <v>9.234530528827255E-07</v>
      </c>
      <c r="Z142" s="281"/>
      <c r="AA142" s="107"/>
      <c r="AB142" s="110"/>
      <c r="AC142" s="111"/>
      <c r="AD142" s="22" t="s">
        <v>22</v>
      </c>
      <c r="AE142" s="140">
        <f t="shared" si="54"/>
        <v>0</v>
      </c>
      <c r="AF142" s="110">
        <f t="shared" si="55"/>
        <v>3.693812211530902E-06</v>
      </c>
      <c r="AG142" s="593">
        <f>SUMPRODUCT(AE142:AE145,AF142:AF145)</f>
        <v>0</v>
      </c>
      <c r="AH142" s="137" t="s">
        <v>22</v>
      </c>
      <c r="AI142" s="23"/>
      <c r="AJ142" s="27"/>
      <c r="AK142" s="587">
        <f>IF(SUM(AI142:AI145)=0,0,SUM(AI142:AI145)/SUM(E142:E145))</f>
        <v>0</v>
      </c>
      <c r="AL142" s="21"/>
    </row>
    <row r="143" spans="1:38" ht="12.75" customHeight="1" hidden="1">
      <c r="A143" s="608"/>
      <c r="B143" s="608"/>
      <c r="C143" s="521"/>
      <c r="D143" s="28" t="s">
        <v>23</v>
      </c>
      <c r="E143" s="29"/>
      <c r="F143" s="30">
        <f>IF(E143=0,0,E143/SUM(E142:E145))</f>
        <v>0</v>
      </c>
      <c r="G143" s="29">
        <f t="shared" si="53"/>
        <v>0</v>
      </c>
      <c r="H143" s="31"/>
      <c r="I143" s="31"/>
      <c r="J143" s="31"/>
      <c r="K143" s="31"/>
      <c r="L143" s="31"/>
      <c r="M143" s="262"/>
      <c r="N143" s="71">
        <f t="shared" si="50"/>
        <v>0</v>
      </c>
      <c r="O143" s="72">
        <f t="shared" si="61"/>
        <v>0</v>
      </c>
      <c r="P143" s="73">
        <f t="shared" si="61"/>
        <v>0</v>
      </c>
      <c r="Q143" s="73">
        <f t="shared" si="61"/>
        <v>0</v>
      </c>
      <c r="R143" s="273"/>
      <c r="S143" s="71">
        <f>(I143+J143)/1000*$AF$3</f>
        <v>0</v>
      </c>
      <c r="T143" s="74"/>
      <c r="U143" s="75"/>
      <c r="V143" s="112">
        <f t="shared" si="43"/>
        <v>9.234530528827255E-07</v>
      </c>
      <c r="W143" s="113">
        <f t="shared" si="58"/>
        <v>9.234530528827255E-07</v>
      </c>
      <c r="X143" s="114">
        <f t="shared" si="62"/>
        <v>9.234530528827255E-07</v>
      </c>
      <c r="Y143" s="114">
        <f t="shared" si="62"/>
        <v>9.234530528827255E-07</v>
      </c>
      <c r="Z143" s="282"/>
      <c r="AA143" s="112"/>
      <c r="AB143" s="115"/>
      <c r="AC143" s="116"/>
      <c r="AD143" s="28" t="s">
        <v>23</v>
      </c>
      <c r="AE143" s="141">
        <f t="shared" si="54"/>
        <v>0</v>
      </c>
      <c r="AF143" s="115">
        <f t="shared" si="55"/>
        <v>3.693812211530902E-06</v>
      </c>
      <c r="AG143" s="594"/>
      <c r="AH143" s="138" t="s">
        <v>23</v>
      </c>
      <c r="AI143" s="29"/>
      <c r="AJ143" s="33"/>
      <c r="AK143" s="588"/>
      <c r="AL143" s="21"/>
    </row>
    <row r="144" spans="1:38" ht="12.75" customHeight="1" hidden="1">
      <c r="A144" s="608"/>
      <c r="B144" s="608"/>
      <c r="C144" s="521"/>
      <c r="D144" s="28" t="s">
        <v>24</v>
      </c>
      <c r="E144" s="29"/>
      <c r="F144" s="30">
        <f>IF(E144=0,0,E144/SUM(E142:E145))</f>
        <v>0</v>
      </c>
      <c r="G144" s="29">
        <f t="shared" si="53"/>
        <v>0</v>
      </c>
      <c r="H144" s="31"/>
      <c r="I144" s="31"/>
      <c r="J144" s="31"/>
      <c r="K144" s="31"/>
      <c r="L144" s="31"/>
      <c r="M144" s="262"/>
      <c r="N144" s="71">
        <f t="shared" si="50"/>
        <v>0</v>
      </c>
      <c r="O144" s="72">
        <f t="shared" si="61"/>
        <v>0</v>
      </c>
      <c r="P144" s="73">
        <f t="shared" si="61"/>
        <v>0</v>
      </c>
      <c r="Q144" s="73">
        <f t="shared" si="61"/>
        <v>0</v>
      </c>
      <c r="R144" s="273"/>
      <c r="S144" s="71">
        <f>(I144+J144)/1000*$AF$3</f>
        <v>0</v>
      </c>
      <c r="T144" s="74"/>
      <c r="U144" s="75"/>
      <c r="V144" s="112">
        <f t="shared" si="43"/>
        <v>9.234530528827255E-07</v>
      </c>
      <c r="W144" s="113">
        <f t="shared" si="58"/>
        <v>9.234530528827255E-07</v>
      </c>
      <c r="X144" s="114">
        <f t="shared" si="62"/>
        <v>9.234530528827255E-07</v>
      </c>
      <c r="Y144" s="114">
        <f t="shared" si="62"/>
        <v>9.234530528827255E-07</v>
      </c>
      <c r="Z144" s="282"/>
      <c r="AA144" s="112"/>
      <c r="AB144" s="115"/>
      <c r="AC144" s="116"/>
      <c r="AD144" s="28" t="s">
        <v>24</v>
      </c>
      <c r="AE144" s="141">
        <f t="shared" si="54"/>
        <v>0</v>
      </c>
      <c r="AF144" s="115">
        <f t="shared" si="55"/>
        <v>3.693812211530902E-06</v>
      </c>
      <c r="AG144" s="594"/>
      <c r="AH144" s="138" t="s">
        <v>24</v>
      </c>
      <c r="AI144" s="29"/>
      <c r="AJ144" s="33"/>
      <c r="AK144" s="588"/>
      <c r="AL144" s="21"/>
    </row>
    <row r="145" spans="1:38" ht="12.75" customHeight="1" hidden="1">
      <c r="A145" s="609"/>
      <c r="B145" s="609"/>
      <c r="C145" s="522"/>
      <c r="D145" s="34" t="s">
        <v>25</v>
      </c>
      <c r="E145" s="35"/>
      <c r="F145" s="36">
        <f>IF(E145=0,0,E145/SUM(E142:E145))</f>
        <v>0</v>
      </c>
      <c r="G145" s="35">
        <f t="shared" si="53"/>
        <v>0</v>
      </c>
      <c r="H145" s="37"/>
      <c r="I145" s="37"/>
      <c r="J145" s="37"/>
      <c r="K145" s="37"/>
      <c r="L145" s="37"/>
      <c r="M145" s="263"/>
      <c r="N145" s="76">
        <f t="shared" si="50"/>
        <v>0</v>
      </c>
      <c r="O145" s="77">
        <f t="shared" si="61"/>
        <v>0</v>
      </c>
      <c r="P145" s="78">
        <f t="shared" si="61"/>
        <v>0</v>
      </c>
      <c r="Q145" s="78">
        <f t="shared" si="61"/>
        <v>0</v>
      </c>
      <c r="R145" s="274"/>
      <c r="S145" s="76">
        <f>(I145+J145)/1000*$AF$3</f>
        <v>0</v>
      </c>
      <c r="T145" s="79"/>
      <c r="U145" s="80"/>
      <c r="V145" s="117">
        <f t="shared" si="43"/>
        <v>9.234530528827255E-07</v>
      </c>
      <c r="W145" s="118">
        <f t="shared" si="58"/>
        <v>9.234530528827255E-07</v>
      </c>
      <c r="X145" s="119">
        <f t="shared" si="62"/>
        <v>9.234530528827255E-07</v>
      </c>
      <c r="Y145" s="119">
        <f t="shared" si="62"/>
        <v>9.234530528827255E-07</v>
      </c>
      <c r="Z145" s="283"/>
      <c r="AA145" s="117"/>
      <c r="AB145" s="120"/>
      <c r="AC145" s="121"/>
      <c r="AD145" s="34" t="s">
        <v>25</v>
      </c>
      <c r="AE145" s="142">
        <f t="shared" si="54"/>
        <v>0</v>
      </c>
      <c r="AF145" s="120">
        <f t="shared" si="55"/>
        <v>3.693812211530902E-06</v>
      </c>
      <c r="AG145" s="595"/>
      <c r="AH145" s="139" t="s">
        <v>25</v>
      </c>
      <c r="AI145" s="35"/>
      <c r="AJ145" s="39"/>
      <c r="AK145" s="589"/>
      <c r="AL145" s="21"/>
    </row>
    <row r="146" spans="1:38" ht="12.75">
      <c r="A146" s="511" t="s">
        <v>46</v>
      </c>
      <c r="B146" s="573"/>
      <c r="C146" s="237"/>
      <c r="D146" s="22" t="s">
        <v>22</v>
      </c>
      <c r="E146" s="29">
        <f>SUM(E10,E14,E18,E26,E30,E34,E38,E50,E54,E58,E70,E74,E110,E114,E118,E122,E126,E130,E134,E138,E142)</f>
        <v>1137</v>
      </c>
      <c r="F146" s="24">
        <f>IF(E146=0,0,E146/SUM(E146:E149))</f>
        <v>0.05848765432098765</v>
      </c>
      <c r="G146" s="40">
        <f>SUM(G10:G145)</f>
        <v>1780679</v>
      </c>
      <c r="H146" s="40"/>
      <c r="I146" s="40"/>
      <c r="J146" s="40"/>
      <c r="K146" s="40"/>
      <c r="L146" s="40"/>
      <c r="M146" s="267"/>
      <c r="N146" s="267"/>
      <c r="O146" s="267"/>
      <c r="P146" s="267"/>
      <c r="Q146" s="267"/>
      <c r="R146" s="267"/>
      <c r="S146" s="267"/>
      <c r="T146" s="161"/>
      <c r="U146" s="161"/>
      <c r="V146" s="40"/>
      <c r="W146" s="40"/>
      <c r="X146" s="40"/>
      <c r="Y146" s="40"/>
      <c r="Z146" s="267"/>
      <c r="AA146" s="267"/>
      <c r="AB146" s="40"/>
      <c r="AC146" s="40"/>
      <c r="AD146" s="40"/>
      <c r="AE146" s="40"/>
      <c r="AF146" s="40"/>
      <c r="AG146" s="40"/>
      <c r="AH146" s="41"/>
      <c r="AI146" s="40"/>
      <c r="AJ146" s="42"/>
      <c r="AK146" s="42"/>
      <c r="AL146" s="21"/>
    </row>
    <row r="147" spans="1:38" ht="12.75">
      <c r="A147" s="615"/>
      <c r="B147" s="616"/>
      <c r="C147" s="239"/>
      <c r="D147" s="28" t="s">
        <v>23</v>
      </c>
      <c r="E147" s="29">
        <f>SUM(E11,E15,E19,E27,E31,E35,E39,E51,E55,E59,E71,E75,E111,E115,E119,E123,E127,E131,E135,E139,E143)</f>
        <v>7003</v>
      </c>
      <c r="F147" s="30">
        <f>IF(E147=0,0,E147/SUM(E146:E149))</f>
        <v>0.3602366255144033</v>
      </c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1"/>
      <c r="AI147" s="40"/>
      <c r="AJ147" s="42"/>
      <c r="AK147" s="42"/>
      <c r="AL147" s="21"/>
    </row>
    <row r="148" spans="1:38" ht="12.75">
      <c r="A148" s="615"/>
      <c r="B148" s="616"/>
      <c r="C148" s="239"/>
      <c r="D148" s="28" t="s">
        <v>24</v>
      </c>
      <c r="E148" s="29">
        <f>SUM(E12,E16,E20,E28,E32,E36,E40,E52,E56,E60,E72,E76,E112,E116,E120,E124,E128,E132,E136,E140,E144)</f>
        <v>7551</v>
      </c>
      <c r="F148" s="30">
        <f>IF(E148=0,0,E148/SUM(E146:E149))</f>
        <v>0.38842592592592595</v>
      </c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1"/>
      <c r="AI148" s="40"/>
      <c r="AJ148" s="42"/>
      <c r="AK148" s="42"/>
      <c r="AL148" s="21"/>
    </row>
    <row r="149" spans="1:38" ht="12.75">
      <c r="A149" s="617"/>
      <c r="B149" s="618"/>
      <c r="C149" s="238"/>
      <c r="D149" s="34" t="s">
        <v>25</v>
      </c>
      <c r="E149" s="35">
        <f>SUM(E13,E17,E21,E29,E33,E37,E41,E53,E57,E61,E73,E77,E113,E117,E121,E125,E129,E133,E137,E141,E145)</f>
        <v>3749</v>
      </c>
      <c r="F149" s="36">
        <f>IF(E149=0,0,E149/SUM(E146:E149))</f>
        <v>0.19284979423868312</v>
      </c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1"/>
      <c r="AI149" s="40"/>
      <c r="AJ149" s="42"/>
      <c r="AK149" s="42"/>
      <c r="AL149" s="21"/>
    </row>
  </sheetData>
  <sheetProtection/>
  <mergeCells count="147">
    <mergeCell ref="AG106:AG109"/>
    <mergeCell ref="AK106:AK109"/>
    <mergeCell ref="AG42:AG45"/>
    <mergeCell ref="AK42:AK45"/>
    <mergeCell ref="AG46:AG49"/>
    <mergeCell ref="AK46:AK49"/>
    <mergeCell ref="AG94:AG97"/>
    <mergeCell ref="AK94:AK97"/>
    <mergeCell ref="AG98:AG101"/>
    <mergeCell ref="AK98:AK101"/>
    <mergeCell ref="AG102:AG105"/>
    <mergeCell ref="AK102:AK105"/>
    <mergeCell ref="AG82:AG85"/>
    <mergeCell ref="AK82:AK85"/>
    <mergeCell ref="AG86:AG89"/>
    <mergeCell ref="AK86:AK89"/>
    <mergeCell ref="AG90:AG93"/>
    <mergeCell ref="AK90:AK93"/>
    <mergeCell ref="A78:A81"/>
    <mergeCell ref="B78:B81"/>
    <mergeCell ref="AG22:AG25"/>
    <mergeCell ref="AK22:AK25"/>
    <mergeCell ref="AG62:AG65"/>
    <mergeCell ref="AK62:AK65"/>
    <mergeCell ref="AG66:AG69"/>
    <mergeCell ref="AK66:AK69"/>
    <mergeCell ref="AG78:AG81"/>
    <mergeCell ref="AK78:AK81"/>
    <mergeCell ref="A1:AK1"/>
    <mergeCell ref="A7:C8"/>
    <mergeCell ref="C10:C13"/>
    <mergeCell ref="C14:C17"/>
    <mergeCell ref="A14:A17"/>
    <mergeCell ref="B14:B17"/>
    <mergeCell ref="A10:A13"/>
    <mergeCell ref="B10:B13"/>
    <mergeCell ref="AK10:AK13"/>
    <mergeCell ref="D7:F8"/>
    <mergeCell ref="C134:C137"/>
    <mergeCell ref="C130:C133"/>
    <mergeCell ref="C26:C29"/>
    <mergeCell ref="A18:A21"/>
    <mergeCell ref="B18:B21"/>
    <mergeCell ref="A26:A29"/>
    <mergeCell ref="B26:B29"/>
    <mergeCell ref="C18:C21"/>
    <mergeCell ref="B130:B133"/>
    <mergeCell ref="A134:A137"/>
    <mergeCell ref="A146:B149"/>
    <mergeCell ref="A138:A141"/>
    <mergeCell ref="B138:B141"/>
    <mergeCell ref="AK138:AK141"/>
    <mergeCell ref="A142:A145"/>
    <mergeCell ref="B142:B145"/>
    <mergeCell ref="AK142:AK145"/>
    <mergeCell ref="C142:C145"/>
    <mergeCell ref="C138:C141"/>
    <mergeCell ref="B134:B137"/>
    <mergeCell ref="A122:A125"/>
    <mergeCell ref="B122:B125"/>
    <mergeCell ref="A130:A133"/>
    <mergeCell ref="A126:A129"/>
    <mergeCell ref="B126:B129"/>
    <mergeCell ref="AG122:AG125"/>
    <mergeCell ref="AG126:AG129"/>
    <mergeCell ref="C122:C125"/>
    <mergeCell ref="C126:C129"/>
    <mergeCell ref="A114:A117"/>
    <mergeCell ref="B114:B117"/>
    <mergeCell ref="AK114:AK117"/>
    <mergeCell ref="A118:A121"/>
    <mergeCell ref="B118:B121"/>
    <mergeCell ref="AK118:AK121"/>
    <mergeCell ref="AG114:AG117"/>
    <mergeCell ref="AG118:AG121"/>
    <mergeCell ref="C114:C117"/>
    <mergeCell ref="C118:C121"/>
    <mergeCell ref="A74:A77"/>
    <mergeCell ref="B74:B77"/>
    <mergeCell ref="AK74:AK77"/>
    <mergeCell ref="A110:A113"/>
    <mergeCell ref="B110:B113"/>
    <mergeCell ref="AK110:AK113"/>
    <mergeCell ref="AG74:AG77"/>
    <mergeCell ref="AG110:AG113"/>
    <mergeCell ref="C74:C77"/>
    <mergeCell ref="C110:C113"/>
    <mergeCell ref="A58:A61"/>
    <mergeCell ref="B58:B61"/>
    <mergeCell ref="AK58:AK61"/>
    <mergeCell ref="A70:A73"/>
    <mergeCell ref="B70:B73"/>
    <mergeCell ref="AK70:AK73"/>
    <mergeCell ref="AG58:AG61"/>
    <mergeCell ref="AG70:AG73"/>
    <mergeCell ref="C70:C73"/>
    <mergeCell ref="C58:C61"/>
    <mergeCell ref="A50:A53"/>
    <mergeCell ref="B50:B53"/>
    <mergeCell ref="AK50:AK53"/>
    <mergeCell ref="A54:A57"/>
    <mergeCell ref="B54:B57"/>
    <mergeCell ref="AK54:AK57"/>
    <mergeCell ref="AG50:AG53"/>
    <mergeCell ref="AG54:AG57"/>
    <mergeCell ref="C50:C53"/>
    <mergeCell ref="C54:C57"/>
    <mergeCell ref="A34:A37"/>
    <mergeCell ref="B34:B37"/>
    <mergeCell ref="AK34:AK37"/>
    <mergeCell ref="A38:A41"/>
    <mergeCell ref="B38:B41"/>
    <mergeCell ref="AK38:AK41"/>
    <mergeCell ref="AG34:AG37"/>
    <mergeCell ref="AG38:AG41"/>
    <mergeCell ref="C34:C37"/>
    <mergeCell ref="C38:C41"/>
    <mergeCell ref="A30:A33"/>
    <mergeCell ref="B30:B33"/>
    <mergeCell ref="AK30:AK33"/>
    <mergeCell ref="AG30:AG33"/>
    <mergeCell ref="C30:C33"/>
    <mergeCell ref="AF3:AG3"/>
    <mergeCell ref="AG10:AG13"/>
    <mergeCell ref="N7:U7"/>
    <mergeCell ref="N8:U8"/>
    <mergeCell ref="V7:AG7"/>
    <mergeCell ref="V8:AG8"/>
    <mergeCell ref="AG142:AG145"/>
    <mergeCell ref="AG26:AG29"/>
    <mergeCell ref="AK130:AK133"/>
    <mergeCell ref="AG138:AG141"/>
    <mergeCell ref="AK122:AK125"/>
    <mergeCell ref="AK134:AK137"/>
    <mergeCell ref="AG130:AG133"/>
    <mergeCell ref="AG134:AG137"/>
    <mergeCell ref="AK26:AK29"/>
    <mergeCell ref="AK126:AK129"/>
    <mergeCell ref="AK18:AK21"/>
    <mergeCell ref="AG14:AG17"/>
    <mergeCell ref="AG18:AG21"/>
    <mergeCell ref="G7:M7"/>
    <mergeCell ref="G8:M8"/>
    <mergeCell ref="AK14:AK17"/>
    <mergeCell ref="AJ9:AK9"/>
    <mergeCell ref="AH7:AK7"/>
    <mergeCell ref="AH8:AK8"/>
  </mergeCells>
  <printOptions horizontalCentered="1"/>
  <pageMargins left="0.5905511811023622" right="0.5905511811023622" top="0.984251968503937" bottom="0.5905511811023622" header="0" footer="0"/>
  <pageSetup fitToHeight="1" fitToWidth="1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17" t="s">
        <v>202</v>
      </c>
      <c r="C1" s="418"/>
      <c r="D1" s="423"/>
      <c r="E1" s="423"/>
    </row>
    <row r="2" spans="2:5" ht="12.75">
      <c r="B2" s="417" t="s">
        <v>203</v>
      </c>
      <c r="C2" s="418"/>
      <c r="D2" s="423"/>
      <c r="E2" s="423"/>
    </row>
    <row r="3" spans="2:5" ht="12.75">
      <c r="B3" s="419"/>
      <c r="C3" s="419"/>
      <c r="D3" s="424"/>
      <c r="E3" s="424"/>
    </row>
    <row r="4" spans="2:5" ht="38.25">
      <c r="B4" s="420" t="s">
        <v>204</v>
      </c>
      <c r="C4" s="419"/>
      <c r="D4" s="424"/>
      <c r="E4" s="424"/>
    </row>
    <row r="5" spans="2:5" ht="12.75">
      <c r="B5" s="419"/>
      <c r="C5" s="419"/>
      <c r="D5" s="424"/>
      <c r="E5" s="424"/>
    </row>
    <row r="6" spans="2:5" ht="25.5">
      <c r="B6" s="417" t="s">
        <v>205</v>
      </c>
      <c r="C6" s="418"/>
      <c r="D6" s="423"/>
      <c r="E6" s="425" t="s">
        <v>206</v>
      </c>
    </row>
    <row r="7" spans="2:5" ht="13.5" thickBot="1">
      <c r="B7" s="419"/>
      <c r="C7" s="419"/>
      <c r="D7" s="424"/>
      <c r="E7" s="424"/>
    </row>
    <row r="8" spans="2:5" ht="39" thickBot="1">
      <c r="B8" s="421" t="s">
        <v>207</v>
      </c>
      <c r="C8" s="422"/>
      <c r="D8" s="426"/>
      <c r="E8" s="427">
        <v>7</v>
      </c>
    </row>
    <row r="9" spans="2:5" ht="12.75">
      <c r="B9" s="419"/>
      <c r="C9" s="419"/>
      <c r="D9" s="424"/>
      <c r="E9" s="424"/>
    </row>
    <row r="10" spans="2:5" ht="12.75">
      <c r="B10" s="419"/>
      <c r="C10" s="419"/>
      <c r="D10" s="424"/>
      <c r="E10" s="42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477" t="s">
        <v>213</v>
      </c>
      <c r="C1" s="477"/>
      <c r="D1" s="479"/>
      <c r="E1" s="479"/>
    </row>
    <row r="2" spans="2:5" ht="12.75">
      <c r="B2" s="477" t="s">
        <v>214</v>
      </c>
      <c r="C2" s="477"/>
      <c r="D2" s="479"/>
      <c r="E2" s="479"/>
    </row>
    <row r="3" spans="2:5" ht="12.75">
      <c r="B3" s="419"/>
      <c r="C3" s="419"/>
      <c r="D3" s="424"/>
      <c r="E3" s="424"/>
    </row>
    <row r="4" spans="2:5" ht="38.25">
      <c r="B4" s="419" t="s">
        <v>204</v>
      </c>
      <c r="C4" s="419"/>
      <c r="D4" s="424"/>
      <c r="E4" s="424"/>
    </row>
    <row r="5" spans="2:5" ht="12.75">
      <c r="B5" s="419"/>
      <c r="C5" s="419"/>
      <c r="D5" s="424"/>
      <c r="E5" s="424"/>
    </row>
    <row r="6" spans="2:5" ht="25.5">
      <c r="B6" s="477" t="s">
        <v>205</v>
      </c>
      <c r="C6" s="477"/>
      <c r="D6" s="479"/>
      <c r="E6" s="479" t="s">
        <v>206</v>
      </c>
    </row>
    <row r="7" spans="2:5" ht="13.5" thickBot="1">
      <c r="B7" s="419"/>
      <c r="C7" s="419"/>
      <c r="D7" s="424"/>
      <c r="E7" s="424"/>
    </row>
    <row r="8" spans="2:5" ht="39" thickBot="1">
      <c r="B8" s="478" t="s">
        <v>207</v>
      </c>
      <c r="C8" s="422"/>
      <c r="D8" s="426"/>
      <c r="E8" s="427">
        <v>43</v>
      </c>
    </row>
    <row r="9" spans="2:5" ht="12.75">
      <c r="B9" s="419"/>
      <c r="C9" s="419"/>
      <c r="D9" s="424"/>
      <c r="E9" s="424"/>
    </row>
    <row r="10" spans="2:5" ht="12.75">
      <c r="B10" s="419"/>
      <c r="C10" s="419"/>
      <c r="D10" s="424"/>
      <c r="E10" s="4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Diseños</dc:title>
  <dc:subject/>
  <dc:creator>ECacciali</dc:creator>
  <cp:keywords/>
  <dc:description/>
  <cp:lastModifiedBy>Usuario</cp:lastModifiedBy>
  <cp:lastPrinted>2008-11-14T18:13:16Z</cp:lastPrinted>
  <dcterms:created xsi:type="dcterms:W3CDTF">2006-11-08T21:21:54Z</dcterms:created>
  <dcterms:modified xsi:type="dcterms:W3CDTF">2020-11-09T10:42:30Z</dcterms:modified>
  <cp:category/>
  <cp:version/>
  <cp:contentType/>
  <cp:contentStatus/>
</cp:coreProperties>
</file>