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arnales\Desktop\clase 26 abril\"/>
    </mc:Choice>
  </mc:AlternateContent>
  <bookViews>
    <workbookView xWindow="0" yWindow="0" windowWidth="23040" windowHeight="8808" firstSheet="8" activeTab="8"/>
  </bookViews>
  <sheets>
    <sheet name="Costos de Conservación" sheetId="1" r:id="rId1"/>
    <sheet name="TPDA" sheetId="8" r:id="rId2"/>
    <sheet name="Alternativa Base" sheetId="2" r:id="rId3"/>
    <sheet name="Alternativa I" sheetId="3" r:id="rId4"/>
    <sheet name="Alternativa II" sheetId="4" r:id="rId5"/>
    <sheet name="Beneficios exógenos" sheetId="13" r:id="rId6"/>
    <sheet name="Comparación" sheetId="9" r:id="rId7"/>
    <sheet name="Comparación Base-Alt I" sheetId="10" r:id="rId8"/>
    <sheet name="Comparación Base-Alt II" sheetId="11" r:id="rId9"/>
    <sheet name="VOC Urbano 50km" sheetId="6" r:id="rId10"/>
    <sheet name="VOC Urbano 60km" sheetId="12" r:id="rId11"/>
    <sheet name="VOC Rural 110km" sheetId="7" r:id="rId12"/>
    <sheet name="Sensibilidad Base-Alt I " sheetId="14" r:id="rId13"/>
    <sheet name="Sensibilidad Base-Alt II 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3" l="1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32" i="13"/>
  <c r="D27" i="13" l="1"/>
  <c r="H36" i="13"/>
  <c r="H37" i="13"/>
  <c r="H38" i="13"/>
  <c r="H39" i="13"/>
  <c r="H40" i="13"/>
  <c r="H41" i="13"/>
  <c r="H42" i="13"/>
  <c r="H43" i="13"/>
  <c r="H44" i="13"/>
  <c r="H45" i="13"/>
  <c r="H46" i="13"/>
  <c r="H47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D34" i="13"/>
  <c r="D35" i="13" s="1"/>
  <c r="D37" i="13" s="1"/>
  <c r="D38" i="13" s="1"/>
  <c r="D39" i="13" s="1"/>
  <c r="D40" i="13" s="1"/>
  <c r="D41" i="13" s="1"/>
  <c r="D42" i="13" s="1"/>
  <c r="D43" i="13" s="1"/>
  <c r="D44" i="13" s="1"/>
  <c r="D46" i="13" s="1"/>
  <c r="D47" i="13" s="1"/>
  <c r="D48" i="13" s="1"/>
  <c r="D49" i="13" s="1"/>
  <c r="D50" i="13" s="1"/>
  <c r="D51" i="13" s="1"/>
  <c r="H48" i="13"/>
  <c r="G34" i="13"/>
  <c r="G35" i="13"/>
  <c r="G50" i="13"/>
  <c r="H35" i="13"/>
  <c r="D33" i="13"/>
  <c r="C5" i="13" l="1"/>
  <c r="D5" i="13"/>
  <c r="E5" i="13"/>
  <c r="F5" i="13"/>
  <c r="G5" i="13"/>
  <c r="C6" i="13"/>
  <c r="D6" i="13"/>
  <c r="E6" i="13"/>
  <c r="F6" i="13"/>
  <c r="G6" i="13"/>
  <c r="C7" i="13"/>
  <c r="D7" i="13"/>
  <c r="E7" i="13"/>
  <c r="F7" i="13"/>
  <c r="G7" i="13"/>
  <c r="C8" i="13"/>
  <c r="D8" i="13"/>
  <c r="E8" i="13"/>
  <c r="F8" i="13"/>
  <c r="G8" i="13"/>
  <c r="C9" i="13"/>
  <c r="D9" i="13"/>
  <c r="E9" i="13"/>
  <c r="F9" i="13"/>
  <c r="G9" i="13"/>
  <c r="C10" i="13"/>
  <c r="D10" i="13"/>
  <c r="E10" i="13"/>
  <c r="F10" i="13"/>
  <c r="G10" i="13"/>
  <c r="C11" i="13"/>
  <c r="D11" i="13"/>
  <c r="E11" i="13"/>
  <c r="F11" i="13"/>
  <c r="G11" i="13"/>
  <c r="C12" i="13"/>
  <c r="D12" i="13"/>
  <c r="E12" i="13"/>
  <c r="F12" i="13"/>
  <c r="G12" i="13"/>
  <c r="C13" i="13"/>
  <c r="D13" i="13"/>
  <c r="E13" i="13"/>
  <c r="F13" i="13"/>
  <c r="G13" i="13"/>
  <c r="C14" i="13"/>
  <c r="D14" i="13"/>
  <c r="E14" i="13"/>
  <c r="F14" i="13"/>
  <c r="G14" i="13"/>
  <c r="C15" i="13"/>
  <c r="D15" i="13"/>
  <c r="E15" i="13"/>
  <c r="F15" i="13"/>
  <c r="G15" i="13"/>
  <c r="C16" i="13"/>
  <c r="D16" i="13"/>
  <c r="E16" i="13"/>
  <c r="F16" i="13"/>
  <c r="G16" i="13"/>
  <c r="C17" i="13"/>
  <c r="D17" i="13"/>
  <c r="E17" i="13"/>
  <c r="F17" i="13"/>
  <c r="G17" i="13"/>
  <c r="C18" i="13"/>
  <c r="D18" i="13"/>
  <c r="E18" i="13"/>
  <c r="F18" i="13"/>
  <c r="G18" i="13"/>
  <c r="C19" i="13"/>
  <c r="D19" i="13"/>
  <c r="E19" i="13"/>
  <c r="F19" i="13"/>
  <c r="G19" i="13"/>
  <c r="C20" i="13"/>
  <c r="D20" i="13"/>
  <c r="E20" i="13"/>
  <c r="F20" i="13"/>
  <c r="G20" i="13"/>
  <c r="C21" i="13"/>
  <c r="D21" i="13"/>
  <c r="E21" i="13"/>
  <c r="F21" i="13"/>
  <c r="G21" i="13"/>
  <c r="C22" i="13"/>
  <c r="D22" i="13"/>
  <c r="E22" i="13"/>
  <c r="F22" i="13"/>
  <c r="G22" i="13"/>
  <c r="C23" i="13"/>
  <c r="D23" i="13"/>
  <c r="E23" i="13"/>
  <c r="F23" i="13"/>
  <c r="G23" i="13"/>
  <c r="C24" i="13"/>
  <c r="D24" i="13"/>
  <c r="E24" i="13"/>
  <c r="F24" i="13"/>
  <c r="G24" i="13"/>
  <c r="F36" i="13"/>
  <c r="F28" i="2"/>
  <c r="F23" i="2"/>
  <c r="F18" i="2"/>
  <c r="F12" i="2"/>
  <c r="F45" i="13"/>
  <c r="H51" i="13"/>
  <c r="G51" i="13"/>
  <c r="H50" i="13"/>
  <c r="H34" i="13"/>
  <c r="H33" i="13"/>
  <c r="G33" i="13"/>
  <c r="H32" i="13"/>
  <c r="G32" i="13"/>
  <c r="H49" i="13" l="1"/>
  <c r="E36" i="13"/>
  <c r="N9" i="13" s="1"/>
  <c r="I9" i="2"/>
  <c r="Q9" i="13" l="1"/>
  <c r="P9" i="13"/>
  <c r="O9" i="13"/>
  <c r="S9" i="13"/>
  <c r="R9" i="13"/>
  <c r="E12" i="2"/>
  <c r="D13" i="2"/>
  <c r="E37" i="13"/>
  <c r="N10" i="13" s="1"/>
  <c r="E38" i="13"/>
  <c r="N11" i="13" s="1"/>
  <c r="R10" i="12"/>
  <c r="R14" i="12"/>
  <c r="R5" i="12"/>
  <c r="R6" i="12"/>
  <c r="R7" i="12"/>
  <c r="R8" i="12"/>
  <c r="R9" i="12"/>
  <c r="R11" i="12"/>
  <c r="R12" i="12"/>
  <c r="R13" i="12"/>
  <c r="R15" i="12"/>
  <c r="R16" i="12"/>
  <c r="R17" i="12"/>
  <c r="R18" i="12"/>
  <c r="R19" i="12"/>
  <c r="R20" i="12"/>
  <c r="S11" i="13" l="1"/>
  <c r="R11" i="13"/>
  <c r="Q11" i="13"/>
  <c r="P11" i="13"/>
  <c r="O11" i="13"/>
  <c r="S10" i="13"/>
  <c r="R10" i="13"/>
  <c r="Q10" i="13"/>
  <c r="P10" i="13"/>
  <c r="O10" i="13"/>
  <c r="D14" i="2"/>
  <c r="E13" i="2"/>
  <c r="E39" i="13"/>
  <c r="N12" i="13" s="1"/>
  <c r="O12" i="13" l="1"/>
  <c r="Q12" i="13"/>
  <c r="S12" i="13"/>
  <c r="R12" i="13"/>
  <c r="P12" i="13"/>
  <c r="D15" i="2"/>
  <c r="E14" i="2"/>
  <c r="E40" i="13"/>
  <c r="N13" i="13" s="1"/>
  <c r="Q13" i="13" l="1"/>
  <c r="P13" i="13"/>
  <c r="O13" i="13"/>
  <c r="R13" i="13"/>
  <c r="S13" i="13"/>
  <c r="E15" i="2"/>
  <c r="D16" i="2"/>
  <c r="E41" i="13"/>
  <c r="N14" i="13" s="1"/>
  <c r="H9" i="13"/>
  <c r="R29" i="12"/>
  <c r="R28" i="12"/>
  <c r="R27" i="12"/>
  <c r="R26" i="12"/>
  <c r="R25" i="12"/>
  <c r="R24" i="12"/>
  <c r="R23" i="12"/>
  <c r="R21" i="12"/>
  <c r="C36" i="13" l="1"/>
  <c r="C45" i="13"/>
  <c r="C51" i="13"/>
  <c r="C44" i="13"/>
  <c r="C37" i="13"/>
  <c r="C48" i="13"/>
  <c r="C40" i="13"/>
  <c r="C32" i="13"/>
  <c r="C33" i="13"/>
  <c r="C39" i="13"/>
  <c r="C42" i="13"/>
  <c r="C38" i="13"/>
  <c r="C34" i="13"/>
  <c r="C41" i="13"/>
  <c r="C46" i="13"/>
  <c r="C35" i="13"/>
  <c r="C50" i="13"/>
  <c r="C49" i="13"/>
  <c r="C47" i="13"/>
  <c r="C43" i="13"/>
  <c r="S14" i="13"/>
  <c r="R14" i="13"/>
  <c r="Q14" i="13"/>
  <c r="P14" i="13"/>
  <c r="O14" i="13"/>
  <c r="E16" i="2"/>
  <c r="D17" i="2"/>
  <c r="I9" i="13"/>
  <c r="L9" i="13"/>
  <c r="M9" i="13"/>
  <c r="J9" i="13"/>
  <c r="K9" i="13"/>
  <c r="E42" i="13"/>
  <c r="N15" i="13" s="1"/>
  <c r="R22" i="12"/>
  <c r="S15" i="13" l="1"/>
  <c r="R15" i="13"/>
  <c r="Q15" i="13"/>
  <c r="P15" i="13"/>
  <c r="O15" i="13"/>
  <c r="E17" i="2"/>
  <c r="U9" i="13"/>
  <c r="T9" i="13"/>
  <c r="E43" i="13"/>
  <c r="N16" i="13" s="1"/>
  <c r="Q16" i="13" l="1"/>
  <c r="P16" i="13"/>
  <c r="S16" i="13"/>
  <c r="R16" i="13"/>
  <c r="O16" i="13"/>
  <c r="V9" i="13"/>
  <c r="D19" i="2"/>
  <c r="E18" i="2"/>
  <c r="E44" i="13"/>
  <c r="N17" i="13" s="1"/>
  <c r="Q17" i="13" l="1"/>
  <c r="P17" i="13"/>
  <c r="O17" i="13"/>
  <c r="R17" i="13"/>
  <c r="S17" i="13"/>
  <c r="E19" i="2"/>
  <c r="D20" i="2"/>
  <c r="E45" i="13"/>
  <c r="N18" i="13" s="1"/>
  <c r="J33" i="1"/>
  <c r="S18" i="13" l="1"/>
  <c r="R18" i="13"/>
  <c r="Q18" i="13"/>
  <c r="P18" i="13"/>
  <c r="O18" i="13"/>
  <c r="E20" i="2"/>
  <c r="H16" i="13" s="1"/>
  <c r="D21" i="2"/>
  <c r="E46" i="13"/>
  <c r="N19" i="13" s="1"/>
  <c r="H5" i="9"/>
  <c r="F5" i="9"/>
  <c r="S19" i="13" l="1"/>
  <c r="R19" i="13"/>
  <c r="Q19" i="13"/>
  <c r="P19" i="13"/>
  <c r="O19" i="13"/>
  <c r="D22" i="2"/>
  <c r="E21" i="2"/>
  <c r="I16" i="13"/>
  <c r="M16" i="13"/>
  <c r="J16" i="13"/>
  <c r="K16" i="13"/>
  <c r="L16" i="13"/>
  <c r="E47" i="13"/>
  <c r="N20" i="13" s="1"/>
  <c r="C14" i="4"/>
  <c r="C18" i="4"/>
  <c r="H6" i="4"/>
  <c r="C6" i="4" s="1"/>
  <c r="F32" i="4" s="1"/>
  <c r="J32" i="4" s="1"/>
  <c r="G8" i="4"/>
  <c r="G9" i="4"/>
  <c r="G10" i="4"/>
  <c r="C10" i="4" s="1"/>
  <c r="G11" i="4"/>
  <c r="G12" i="4"/>
  <c r="G13" i="4"/>
  <c r="G14" i="4"/>
  <c r="G15" i="4"/>
  <c r="G17" i="4"/>
  <c r="G18" i="4"/>
  <c r="G19" i="4"/>
  <c r="G20" i="4"/>
  <c r="G21" i="4"/>
  <c r="G22" i="4"/>
  <c r="C22" i="4" s="1"/>
  <c r="G23" i="4"/>
  <c r="G24" i="4"/>
  <c r="G25" i="4"/>
  <c r="G26" i="4"/>
  <c r="C26" i="4" s="1"/>
  <c r="G7" i="4"/>
  <c r="H8" i="4"/>
  <c r="H9" i="4"/>
  <c r="H10" i="4"/>
  <c r="H11" i="4"/>
  <c r="H12" i="4"/>
  <c r="H13" i="4"/>
  <c r="H14" i="4"/>
  <c r="H15" i="4"/>
  <c r="H17" i="4"/>
  <c r="H18" i="4"/>
  <c r="H19" i="4"/>
  <c r="H20" i="4"/>
  <c r="H21" i="4"/>
  <c r="H22" i="4"/>
  <c r="H23" i="4"/>
  <c r="H24" i="4"/>
  <c r="H25" i="4"/>
  <c r="H26" i="4"/>
  <c r="H7" i="4"/>
  <c r="F16" i="4"/>
  <c r="G16" i="4" s="1"/>
  <c r="I33" i="1"/>
  <c r="G8" i="3"/>
  <c r="G9" i="3"/>
  <c r="G10" i="3"/>
  <c r="G11" i="3"/>
  <c r="G12" i="3"/>
  <c r="G13" i="3"/>
  <c r="G14" i="3"/>
  <c r="G15" i="3"/>
  <c r="G16" i="3"/>
  <c r="G18" i="3"/>
  <c r="G19" i="3"/>
  <c r="G20" i="3"/>
  <c r="G21" i="3"/>
  <c r="G22" i="3"/>
  <c r="G23" i="3"/>
  <c r="G25" i="3"/>
  <c r="G26" i="3"/>
  <c r="G7" i="3"/>
  <c r="M26" i="4"/>
  <c r="L26" i="4"/>
  <c r="K26" i="4"/>
  <c r="J26" i="4"/>
  <c r="I26" i="4"/>
  <c r="M25" i="4"/>
  <c r="L25" i="4"/>
  <c r="K25" i="4"/>
  <c r="J25" i="4"/>
  <c r="I25" i="4"/>
  <c r="M24" i="4"/>
  <c r="L24" i="4"/>
  <c r="K24" i="4"/>
  <c r="J24" i="4"/>
  <c r="I24" i="4"/>
  <c r="M23" i="4"/>
  <c r="L23" i="4"/>
  <c r="K23" i="4"/>
  <c r="J23" i="4"/>
  <c r="I23" i="4"/>
  <c r="M22" i="4"/>
  <c r="L22" i="4"/>
  <c r="K22" i="4"/>
  <c r="J22" i="4"/>
  <c r="I22" i="4"/>
  <c r="M21" i="4"/>
  <c r="L21" i="4"/>
  <c r="K21" i="4"/>
  <c r="J21" i="4"/>
  <c r="I21" i="4"/>
  <c r="M20" i="4"/>
  <c r="L20" i="4"/>
  <c r="K20" i="4"/>
  <c r="J20" i="4"/>
  <c r="I20" i="4"/>
  <c r="M19" i="4"/>
  <c r="L19" i="4"/>
  <c r="K19" i="4"/>
  <c r="J19" i="4"/>
  <c r="I19" i="4"/>
  <c r="M18" i="4"/>
  <c r="L18" i="4"/>
  <c r="K18" i="4"/>
  <c r="J18" i="4"/>
  <c r="I18" i="4"/>
  <c r="M17" i="4"/>
  <c r="L17" i="4"/>
  <c r="K17" i="4"/>
  <c r="J17" i="4"/>
  <c r="I17" i="4"/>
  <c r="M16" i="4"/>
  <c r="L16" i="4"/>
  <c r="K16" i="4"/>
  <c r="J16" i="4"/>
  <c r="I16" i="4"/>
  <c r="M15" i="4"/>
  <c r="L15" i="4"/>
  <c r="K15" i="4"/>
  <c r="J15" i="4"/>
  <c r="I15" i="4"/>
  <c r="M14" i="4"/>
  <c r="L14" i="4"/>
  <c r="K14" i="4"/>
  <c r="J14" i="4"/>
  <c r="I14" i="4"/>
  <c r="M13" i="4"/>
  <c r="L13" i="4"/>
  <c r="K13" i="4"/>
  <c r="J13" i="4"/>
  <c r="I13" i="4"/>
  <c r="M12" i="4"/>
  <c r="L12" i="4"/>
  <c r="K12" i="4"/>
  <c r="J12" i="4"/>
  <c r="I12" i="4"/>
  <c r="M11" i="4"/>
  <c r="L11" i="4"/>
  <c r="K11" i="4"/>
  <c r="J11" i="4"/>
  <c r="I11" i="4"/>
  <c r="M10" i="4"/>
  <c r="L10" i="4"/>
  <c r="K10" i="4"/>
  <c r="J10" i="4"/>
  <c r="I10" i="4"/>
  <c r="M9" i="4"/>
  <c r="L9" i="4"/>
  <c r="K9" i="4"/>
  <c r="J9" i="4"/>
  <c r="I9" i="4"/>
  <c r="M8" i="4"/>
  <c r="L8" i="4"/>
  <c r="K8" i="4"/>
  <c r="J8" i="4"/>
  <c r="I8" i="4"/>
  <c r="M7" i="4"/>
  <c r="L7" i="4"/>
  <c r="K7" i="4"/>
  <c r="J7" i="4"/>
  <c r="I7" i="4"/>
  <c r="H6" i="3"/>
  <c r="C6" i="3" s="1"/>
  <c r="H16" i="4" l="1"/>
  <c r="C16" i="4" s="1"/>
  <c r="C24" i="4"/>
  <c r="C20" i="4"/>
  <c r="G19" i="9" s="1"/>
  <c r="C12" i="4"/>
  <c r="C8" i="4"/>
  <c r="C7" i="4"/>
  <c r="C23" i="4"/>
  <c r="G22" i="9" s="1"/>
  <c r="C19" i="4"/>
  <c r="C15" i="4"/>
  <c r="C11" i="4"/>
  <c r="G10" i="9" s="1"/>
  <c r="C25" i="4"/>
  <c r="G24" i="9" s="1"/>
  <c r="C21" i="4"/>
  <c r="C17" i="4"/>
  <c r="C13" i="4"/>
  <c r="E12" i="11" s="1"/>
  <c r="C9" i="4"/>
  <c r="E8" i="11" s="1"/>
  <c r="P20" i="13"/>
  <c r="O20" i="13"/>
  <c r="S20" i="13"/>
  <c r="R20" i="13"/>
  <c r="Q20" i="13"/>
  <c r="T16" i="13"/>
  <c r="U16" i="13"/>
  <c r="E22" i="2"/>
  <c r="E48" i="13"/>
  <c r="N21" i="13" s="1"/>
  <c r="E20" i="11"/>
  <c r="E20" i="15" s="1"/>
  <c r="G20" i="9"/>
  <c r="G16" i="9"/>
  <c r="E16" i="11"/>
  <c r="E16" i="15" s="1"/>
  <c r="G23" i="9"/>
  <c r="E23" i="11"/>
  <c r="E23" i="15" s="1"/>
  <c r="G11" i="9"/>
  <c r="E11" i="11"/>
  <c r="G7" i="9"/>
  <c r="E7" i="11"/>
  <c r="G6" i="9"/>
  <c r="E6" i="11"/>
  <c r="G18" i="9"/>
  <c r="E18" i="11"/>
  <c r="E18" i="15" s="1"/>
  <c r="G5" i="9"/>
  <c r="E5" i="11"/>
  <c r="T6" i="4"/>
  <c r="G8" i="9"/>
  <c r="G14" i="9"/>
  <c r="E14" i="11"/>
  <c r="E21" i="11"/>
  <c r="E21" i="15" s="1"/>
  <c r="G21" i="9"/>
  <c r="E9" i="11"/>
  <c r="E9" i="15" s="1"/>
  <c r="G9" i="9"/>
  <c r="E17" i="11"/>
  <c r="E17" i="15" s="1"/>
  <c r="G17" i="9"/>
  <c r="E25" i="11"/>
  <c r="E25" i="15" s="1"/>
  <c r="G25" i="9"/>
  <c r="E13" i="11"/>
  <c r="G13" i="9"/>
  <c r="F32" i="3"/>
  <c r="J32" i="3" s="1"/>
  <c r="E5" i="9"/>
  <c r="E5" i="10"/>
  <c r="T6" i="3"/>
  <c r="E15" i="11" l="1"/>
  <c r="E15" i="15" s="1"/>
  <c r="G15" i="9"/>
  <c r="E5" i="14"/>
  <c r="H5" i="14" s="1"/>
  <c r="J5" i="14" s="1"/>
  <c r="H5" i="10"/>
  <c r="J5" i="10" s="1"/>
  <c r="E5" i="15"/>
  <c r="H5" i="15" s="1"/>
  <c r="J5" i="15" s="1"/>
  <c r="H5" i="11"/>
  <c r="J5" i="11" s="1"/>
  <c r="E24" i="11"/>
  <c r="E24" i="15" s="1"/>
  <c r="E10" i="11"/>
  <c r="E10" i="15" s="1"/>
  <c r="E22" i="11"/>
  <c r="E22" i="15" s="1"/>
  <c r="G12" i="9"/>
  <c r="E19" i="11"/>
  <c r="E19" i="15" s="1"/>
  <c r="E7" i="15"/>
  <c r="E14" i="15"/>
  <c r="G26" i="9"/>
  <c r="E13" i="15"/>
  <c r="E11" i="15"/>
  <c r="E6" i="15"/>
  <c r="E8" i="15"/>
  <c r="E12" i="15"/>
  <c r="Q21" i="13"/>
  <c r="P21" i="13"/>
  <c r="O21" i="13"/>
  <c r="S21" i="13"/>
  <c r="R21" i="13"/>
  <c r="V16" i="13"/>
  <c r="E23" i="2"/>
  <c r="D24" i="2"/>
  <c r="E49" i="13"/>
  <c r="N22" i="13" s="1"/>
  <c r="F24" i="3"/>
  <c r="G24" i="3" s="1"/>
  <c r="F17" i="3"/>
  <c r="G17" i="3" s="1"/>
  <c r="H8" i="3"/>
  <c r="C8" i="3" s="1"/>
  <c r="H9" i="3"/>
  <c r="C9" i="3" s="1"/>
  <c r="H10" i="3"/>
  <c r="C10" i="3" s="1"/>
  <c r="H11" i="3"/>
  <c r="C11" i="3" s="1"/>
  <c r="H12" i="3"/>
  <c r="C12" i="3" s="1"/>
  <c r="H13" i="3"/>
  <c r="C13" i="3" s="1"/>
  <c r="H14" i="3"/>
  <c r="C14" i="3" s="1"/>
  <c r="H15" i="3"/>
  <c r="C15" i="3" s="1"/>
  <c r="H16" i="3"/>
  <c r="C16" i="3" s="1"/>
  <c r="H18" i="3"/>
  <c r="C18" i="3" s="1"/>
  <c r="H19" i="3"/>
  <c r="C19" i="3" s="1"/>
  <c r="H20" i="3"/>
  <c r="C20" i="3" s="1"/>
  <c r="H21" i="3"/>
  <c r="C21" i="3" s="1"/>
  <c r="H22" i="3"/>
  <c r="C22" i="3" s="1"/>
  <c r="H23" i="3"/>
  <c r="C23" i="3" s="1"/>
  <c r="H24" i="3"/>
  <c r="C24" i="3" s="1"/>
  <c r="H25" i="3"/>
  <c r="C25" i="3" s="1"/>
  <c r="H26" i="3"/>
  <c r="C26" i="3" s="1"/>
  <c r="H7" i="3"/>
  <c r="C7" i="3" s="1"/>
  <c r="I8" i="3"/>
  <c r="J8" i="3"/>
  <c r="K8" i="3"/>
  <c r="L8" i="3"/>
  <c r="M8" i="3"/>
  <c r="I9" i="3"/>
  <c r="J9" i="3"/>
  <c r="K9" i="3"/>
  <c r="L9" i="3"/>
  <c r="M9" i="3"/>
  <c r="I10" i="3"/>
  <c r="J10" i="3"/>
  <c r="K10" i="3"/>
  <c r="L10" i="3"/>
  <c r="M10" i="3"/>
  <c r="I11" i="3"/>
  <c r="J11" i="3"/>
  <c r="K11" i="3"/>
  <c r="L11" i="3"/>
  <c r="M11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J7" i="3"/>
  <c r="K7" i="3"/>
  <c r="L7" i="3"/>
  <c r="M7" i="3"/>
  <c r="I7" i="3"/>
  <c r="S22" i="13" l="1"/>
  <c r="R22" i="13"/>
  <c r="Q22" i="13"/>
  <c r="P22" i="13"/>
  <c r="O22" i="13"/>
  <c r="E24" i="2"/>
  <c r="D25" i="2"/>
  <c r="E50" i="13"/>
  <c r="N23" i="13" s="1"/>
  <c r="E18" i="9"/>
  <c r="E18" i="10"/>
  <c r="E18" i="14" s="1"/>
  <c r="E17" i="10"/>
  <c r="E17" i="14" s="1"/>
  <c r="E17" i="9"/>
  <c r="E12" i="10"/>
  <c r="E12" i="9"/>
  <c r="E8" i="10"/>
  <c r="E8" i="9"/>
  <c r="E22" i="9"/>
  <c r="E22" i="10"/>
  <c r="E22" i="14" s="1"/>
  <c r="E9" i="10"/>
  <c r="E9" i="14" s="1"/>
  <c r="E9" i="9"/>
  <c r="E21" i="10"/>
  <c r="E21" i="14" s="1"/>
  <c r="E21" i="9"/>
  <c r="E24" i="10"/>
  <c r="E24" i="14" s="1"/>
  <c r="E24" i="9"/>
  <c r="E20" i="10"/>
  <c r="E20" i="14" s="1"/>
  <c r="E20" i="9"/>
  <c r="E15" i="10"/>
  <c r="E15" i="14" s="1"/>
  <c r="E15" i="9"/>
  <c r="E11" i="10"/>
  <c r="E11" i="9"/>
  <c r="E7" i="10"/>
  <c r="E7" i="9"/>
  <c r="E6" i="10"/>
  <c r="E6" i="9"/>
  <c r="E13" i="10"/>
  <c r="E13" i="9"/>
  <c r="E25" i="10"/>
  <c r="E25" i="14" s="1"/>
  <c r="E25" i="9"/>
  <c r="E23" i="10"/>
  <c r="E23" i="14" s="1"/>
  <c r="E23" i="9"/>
  <c r="E19" i="10"/>
  <c r="E19" i="14" s="1"/>
  <c r="E19" i="9"/>
  <c r="E14" i="9"/>
  <c r="E14" i="10"/>
  <c r="E10" i="9"/>
  <c r="E10" i="10"/>
  <c r="E10" i="14" s="1"/>
  <c r="H17" i="3"/>
  <c r="C17" i="3" s="1"/>
  <c r="E6" i="14" l="1"/>
  <c r="E12" i="14"/>
  <c r="E11" i="14"/>
  <c r="E14" i="14"/>
  <c r="E13" i="14"/>
  <c r="E7" i="14"/>
  <c r="E8" i="14"/>
  <c r="S23" i="13"/>
  <c r="R23" i="13"/>
  <c r="Q23" i="13"/>
  <c r="P23" i="13"/>
  <c r="O23" i="13"/>
  <c r="D26" i="2"/>
  <c r="E25" i="2"/>
  <c r="E51" i="13"/>
  <c r="N24" i="13" s="1"/>
  <c r="E16" i="9"/>
  <c r="E26" i="9" s="1"/>
  <c r="E16" i="10"/>
  <c r="E16" i="14" s="1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O24" i="13" l="1"/>
  <c r="Q24" i="13"/>
  <c r="S24" i="13"/>
  <c r="R24" i="13"/>
  <c r="P24" i="13"/>
  <c r="D27" i="2"/>
  <c r="E26" i="2"/>
  <c r="H22" i="13" s="1"/>
  <c r="G20" i="2"/>
  <c r="G13" i="2"/>
  <c r="H10" i="2"/>
  <c r="H11" i="2"/>
  <c r="H12" i="2"/>
  <c r="H14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9" i="2"/>
  <c r="G9" i="2"/>
  <c r="C9" i="2" s="1"/>
  <c r="I32" i="13" s="1"/>
  <c r="J32" i="13" s="1"/>
  <c r="G10" i="2"/>
  <c r="C10" i="2" s="1"/>
  <c r="I33" i="13" s="1"/>
  <c r="J33" i="13" s="1"/>
  <c r="G11" i="2"/>
  <c r="C11" i="2" s="1"/>
  <c r="I34" i="13" s="1"/>
  <c r="J34" i="13" s="1"/>
  <c r="G12" i="2"/>
  <c r="C12" i="2" s="1"/>
  <c r="I35" i="13" s="1"/>
  <c r="J35" i="13" s="1"/>
  <c r="G14" i="2"/>
  <c r="G15" i="2"/>
  <c r="C15" i="2" s="1"/>
  <c r="I38" i="13" s="1"/>
  <c r="J38" i="13" s="1"/>
  <c r="G16" i="2"/>
  <c r="C16" i="2" s="1"/>
  <c r="I39" i="13" s="1"/>
  <c r="J39" i="13" s="1"/>
  <c r="G17" i="2"/>
  <c r="C17" i="2" s="1"/>
  <c r="I40" i="13" s="1"/>
  <c r="J40" i="13" s="1"/>
  <c r="G18" i="2"/>
  <c r="G19" i="2"/>
  <c r="C19" i="2" s="1"/>
  <c r="I42" i="13" s="1"/>
  <c r="J42" i="13" s="1"/>
  <c r="G21" i="2"/>
  <c r="C21" i="2" s="1"/>
  <c r="I44" i="13" s="1"/>
  <c r="J44" i="13" s="1"/>
  <c r="G22" i="2"/>
  <c r="C22" i="2" s="1"/>
  <c r="I45" i="13" s="1"/>
  <c r="J45" i="13" s="1"/>
  <c r="G23" i="2"/>
  <c r="G24" i="2"/>
  <c r="C24" i="2" s="1"/>
  <c r="I47" i="13" s="1"/>
  <c r="J47" i="13" s="1"/>
  <c r="G25" i="2"/>
  <c r="C25" i="2" s="1"/>
  <c r="I48" i="13" s="1"/>
  <c r="J48" i="13" s="1"/>
  <c r="G26" i="2"/>
  <c r="G27" i="2"/>
  <c r="G28" i="2"/>
  <c r="C28" i="2" s="1"/>
  <c r="I51" i="13" s="1"/>
  <c r="J51" i="13" s="1"/>
  <c r="C14" i="2" l="1"/>
  <c r="I37" i="13" s="1"/>
  <c r="J37" i="13" s="1"/>
  <c r="C18" i="2"/>
  <c r="C23" i="2"/>
  <c r="C27" i="2"/>
  <c r="I50" i="13" s="1"/>
  <c r="J50" i="13" s="1"/>
  <c r="I22" i="13"/>
  <c r="M22" i="13"/>
  <c r="K22" i="13"/>
  <c r="L22" i="13"/>
  <c r="J22" i="13"/>
  <c r="E27" i="2"/>
  <c r="E28" i="2"/>
  <c r="C26" i="2"/>
  <c r="C23" i="9" s="1"/>
  <c r="C22" i="9"/>
  <c r="C22" i="11"/>
  <c r="C22" i="10"/>
  <c r="C13" i="10"/>
  <c r="C13" i="9"/>
  <c r="C13" i="11"/>
  <c r="C6" i="11"/>
  <c r="C6" i="10"/>
  <c r="C6" i="9"/>
  <c r="C21" i="10"/>
  <c r="C21" i="9"/>
  <c r="C21" i="11"/>
  <c r="C16" i="11"/>
  <c r="C16" i="10"/>
  <c r="C16" i="9"/>
  <c r="C12" i="11"/>
  <c r="C12" i="10"/>
  <c r="C12" i="9"/>
  <c r="C7" i="10"/>
  <c r="C7" i="9"/>
  <c r="C7" i="11"/>
  <c r="C11" i="10"/>
  <c r="C11" i="11"/>
  <c r="C11" i="9"/>
  <c r="C18" i="9"/>
  <c r="C18" i="11"/>
  <c r="C18" i="10"/>
  <c r="C8" i="11"/>
  <c r="C8" i="10"/>
  <c r="C8" i="9"/>
  <c r="C15" i="10"/>
  <c r="C24" i="11"/>
  <c r="C19" i="10"/>
  <c r="C19" i="9"/>
  <c r="C19" i="11"/>
  <c r="C14" i="9"/>
  <c r="C14" i="11"/>
  <c r="C14" i="10"/>
  <c r="C9" i="10"/>
  <c r="C9" i="11"/>
  <c r="C9" i="9"/>
  <c r="C25" i="10"/>
  <c r="C25" i="11"/>
  <c r="C25" i="9"/>
  <c r="H20" i="2"/>
  <c r="C20" i="2" s="1"/>
  <c r="I43" i="13" s="1"/>
  <c r="J43" i="13" s="1"/>
  <c r="H13" i="2"/>
  <c r="R29" i="7"/>
  <c r="R27" i="7"/>
  <c r="R25" i="7"/>
  <c r="R23" i="7"/>
  <c r="R21" i="7"/>
  <c r="R19" i="7"/>
  <c r="R17" i="7"/>
  <c r="R15" i="7"/>
  <c r="R13" i="7"/>
  <c r="R11" i="7"/>
  <c r="R9" i="7"/>
  <c r="R7" i="7"/>
  <c r="R5" i="7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C24" i="9" l="1"/>
  <c r="C24" i="10"/>
  <c r="C14" i="15"/>
  <c r="H14" i="15" s="1"/>
  <c r="H14" i="11"/>
  <c r="H18" i="11"/>
  <c r="C18" i="15"/>
  <c r="H18" i="15" s="1"/>
  <c r="C11" i="14"/>
  <c r="H11" i="14" s="1"/>
  <c r="H11" i="10"/>
  <c r="H16" i="10"/>
  <c r="C16" i="14"/>
  <c r="H16" i="14" s="1"/>
  <c r="H21" i="10"/>
  <c r="C21" i="14"/>
  <c r="H21" i="14" s="1"/>
  <c r="H22" i="10"/>
  <c r="C22" i="14"/>
  <c r="H22" i="14" s="1"/>
  <c r="C20" i="10"/>
  <c r="I46" i="13"/>
  <c r="J46" i="13" s="1"/>
  <c r="I17" i="15"/>
  <c r="I17" i="11"/>
  <c r="I17" i="10"/>
  <c r="I17" i="14"/>
  <c r="H15" i="10"/>
  <c r="C15" i="14"/>
  <c r="H15" i="14" s="1"/>
  <c r="C11" i="15"/>
  <c r="H11" i="15" s="1"/>
  <c r="H11" i="11"/>
  <c r="C6" i="15"/>
  <c r="H6" i="15" s="1"/>
  <c r="H6" i="11"/>
  <c r="H25" i="11"/>
  <c r="C25" i="15"/>
  <c r="H25" i="15" s="1"/>
  <c r="H19" i="11"/>
  <c r="C19" i="15"/>
  <c r="H19" i="15" s="1"/>
  <c r="H24" i="10"/>
  <c r="C24" i="14"/>
  <c r="H24" i="14" s="1"/>
  <c r="C8" i="14"/>
  <c r="H8" i="14" s="1"/>
  <c r="H8" i="10"/>
  <c r="C7" i="15"/>
  <c r="H7" i="15" s="1"/>
  <c r="H7" i="11"/>
  <c r="C12" i="14"/>
  <c r="H12" i="14" s="1"/>
  <c r="H12" i="10"/>
  <c r="H16" i="11"/>
  <c r="C16" i="15"/>
  <c r="H16" i="15" s="1"/>
  <c r="C13" i="15"/>
  <c r="H13" i="15" s="1"/>
  <c r="H13" i="11"/>
  <c r="H22" i="11"/>
  <c r="C22" i="15"/>
  <c r="H22" i="15" s="1"/>
  <c r="C15" i="9"/>
  <c r="I41" i="13"/>
  <c r="J41" i="13" s="1"/>
  <c r="H19" i="10"/>
  <c r="C19" i="14"/>
  <c r="H19" i="14" s="1"/>
  <c r="H18" i="10"/>
  <c r="C18" i="14"/>
  <c r="H18" i="14" s="1"/>
  <c r="C7" i="14"/>
  <c r="H7" i="14" s="1"/>
  <c r="H7" i="10"/>
  <c r="C13" i="14"/>
  <c r="H13" i="14" s="1"/>
  <c r="H13" i="10"/>
  <c r="C23" i="10"/>
  <c r="I49" i="13"/>
  <c r="J49" i="13" s="1"/>
  <c r="H25" i="10"/>
  <c r="C25" i="14"/>
  <c r="H25" i="14" s="1"/>
  <c r="C14" i="14"/>
  <c r="H14" i="14" s="1"/>
  <c r="H14" i="10"/>
  <c r="H24" i="11"/>
  <c r="C24" i="15"/>
  <c r="H24" i="15" s="1"/>
  <c r="C8" i="15"/>
  <c r="H8" i="15" s="1"/>
  <c r="H8" i="11"/>
  <c r="C12" i="15"/>
  <c r="H12" i="15" s="1"/>
  <c r="H12" i="11"/>
  <c r="H21" i="11"/>
  <c r="C21" i="15"/>
  <c r="H21" i="15" s="1"/>
  <c r="C6" i="14"/>
  <c r="H6" i="14" s="1"/>
  <c r="H6" i="10"/>
  <c r="H9" i="11"/>
  <c r="C9" i="15"/>
  <c r="H9" i="15" s="1"/>
  <c r="H9" i="10"/>
  <c r="C9" i="14"/>
  <c r="H9" i="14" s="1"/>
  <c r="T22" i="13"/>
  <c r="U22" i="13"/>
  <c r="C15" i="11"/>
  <c r="C20" i="9"/>
  <c r="C20" i="11"/>
  <c r="C23" i="11"/>
  <c r="R8" i="7"/>
  <c r="R14" i="7"/>
  <c r="R16" i="7"/>
  <c r="R22" i="7"/>
  <c r="R7" i="4"/>
  <c r="R6" i="7"/>
  <c r="R12" i="7"/>
  <c r="Q7" i="4"/>
  <c r="R20" i="7"/>
  <c r="R28" i="7"/>
  <c r="R10" i="7"/>
  <c r="P7" i="4"/>
  <c r="R18" i="7"/>
  <c r="R26" i="7"/>
  <c r="O7" i="4"/>
  <c r="R24" i="7"/>
  <c r="C13" i="2"/>
  <c r="C17" i="10"/>
  <c r="C17" i="11"/>
  <c r="C17" i="9"/>
  <c r="E16" i="4"/>
  <c r="E7" i="4"/>
  <c r="N7" i="4" s="1"/>
  <c r="H17" i="10" l="1"/>
  <c r="C17" i="14"/>
  <c r="H17" i="14" s="1"/>
  <c r="N16" i="4"/>
  <c r="Q16" i="4"/>
  <c r="P16" i="4"/>
  <c r="O16" i="4"/>
  <c r="R16" i="4"/>
  <c r="C10" i="9"/>
  <c r="I36" i="13"/>
  <c r="J36" i="13" s="1"/>
  <c r="H15" i="11"/>
  <c r="C15" i="15"/>
  <c r="H15" i="15" s="1"/>
  <c r="H23" i="11"/>
  <c r="C23" i="15"/>
  <c r="H23" i="15" s="1"/>
  <c r="H17" i="11"/>
  <c r="C17" i="15"/>
  <c r="H17" i="15" s="1"/>
  <c r="H20" i="11"/>
  <c r="C20" i="15"/>
  <c r="H20" i="15" s="1"/>
  <c r="H23" i="10"/>
  <c r="C23" i="14"/>
  <c r="H23" i="14" s="1"/>
  <c r="H20" i="10"/>
  <c r="C20" i="14"/>
  <c r="H20" i="14" s="1"/>
  <c r="V22" i="13"/>
  <c r="C10" i="11"/>
  <c r="C26" i="9"/>
  <c r="C10" i="10"/>
  <c r="S7" i="4"/>
  <c r="D8" i="4"/>
  <c r="E8" i="4" s="1"/>
  <c r="E17" i="3"/>
  <c r="E24" i="3"/>
  <c r="E7" i="3"/>
  <c r="D8" i="3"/>
  <c r="E8" i="3" s="1"/>
  <c r="E6" i="2"/>
  <c r="D7" i="2"/>
  <c r="N8" i="4" l="1"/>
  <c r="Q8" i="4"/>
  <c r="R8" i="4"/>
  <c r="P8" i="4"/>
  <c r="O8" i="4"/>
  <c r="S16" i="4"/>
  <c r="H10" i="10"/>
  <c r="C10" i="14"/>
  <c r="H10" i="14" s="1"/>
  <c r="H10" i="11"/>
  <c r="C10" i="15"/>
  <c r="H10" i="15" s="1"/>
  <c r="D9" i="4"/>
  <c r="I10" i="15"/>
  <c r="I10" i="11"/>
  <c r="I10" i="10"/>
  <c r="I10" i="14"/>
  <c r="I23" i="15"/>
  <c r="I23" i="14"/>
  <c r="I23" i="11"/>
  <c r="I23" i="10"/>
  <c r="T7" i="4"/>
  <c r="F6" i="11"/>
  <c r="F6" i="15" s="1"/>
  <c r="H6" i="9"/>
  <c r="E7" i="2"/>
  <c r="D8" i="2"/>
  <c r="D9" i="2" s="1"/>
  <c r="N24" i="3"/>
  <c r="R24" i="3"/>
  <c r="O24" i="3"/>
  <c r="P24" i="3"/>
  <c r="Q24" i="3"/>
  <c r="Q17" i="3"/>
  <c r="N17" i="3"/>
  <c r="R17" i="3"/>
  <c r="O17" i="3"/>
  <c r="P17" i="3"/>
  <c r="N8" i="3"/>
  <c r="R8" i="3"/>
  <c r="O8" i="3"/>
  <c r="Q8" i="3"/>
  <c r="P8" i="3"/>
  <c r="Q7" i="3"/>
  <c r="P7" i="3"/>
  <c r="N7" i="3"/>
  <c r="O7" i="3"/>
  <c r="R7" i="3"/>
  <c r="D9" i="3"/>
  <c r="H24" i="13" l="1"/>
  <c r="D10" i="2"/>
  <c r="D10" i="4"/>
  <c r="E9" i="4"/>
  <c r="H15" i="9"/>
  <c r="T16" i="4"/>
  <c r="F15" i="11"/>
  <c r="F15" i="15" s="1"/>
  <c r="S8" i="4"/>
  <c r="S7" i="3"/>
  <c r="J24" i="13"/>
  <c r="M24" i="13"/>
  <c r="K24" i="13"/>
  <c r="I24" i="13"/>
  <c r="L24" i="13"/>
  <c r="F6" i="10"/>
  <c r="F6" i="14" s="1"/>
  <c r="F6" i="9"/>
  <c r="Q28" i="2"/>
  <c r="N28" i="2"/>
  <c r="O28" i="2"/>
  <c r="R28" i="2"/>
  <c r="P28" i="2"/>
  <c r="P13" i="2"/>
  <c r="Q13" i="2"/>
  <c r="N13" i="2"/>
  <c r="R13" i="2"/>
  <c r="O13" i="2"/>
  <c r="E9" i="2"/>
  <c r="H5" i="13" s="1"/>
  <c r="E8" i="2"/>
  <c r="S8" i="3"/>
  <c r="S17" i="3"/>
  <c r="T7" i="3"/>
  <c r="S24" i="3"/>
  <c r="D10" i="3"/>
  <c r="E9" i="3"/>
  <c r="H8" i="13"/>
  <c r="H21" i="13"/>
  <c r="H13" i="13"/>
  <c r="H20" i="13"/>
  <c r="H12" i="13"/>
  <c r="H17" i="13"/>
  <c r="H23" i="13"/>
  <c r="H19" i="13"/>
  <c r="H15" i="13"/>
  <c r="H11" i="13"/>
  <c r="H18" i="13"/>
  <c r="H14" i="13"/>
  <c r="H10" i="13"/>
  <c r="D11" i="4" l="1"/>
  <c r="E10" i="4"/>
  <c r="D11" i="2"/>
  <c r="E10" i="2"/>
  <c r="H6" i="13" s="1"/>
  <c r="E32" i="13"/>
  <c r="N5" i="13" s="1"/>
  <c r="F7" i="11"/>
  <c r="F7" i="15" s="1"/>
  <c r="H7" i="9"/>
  <c r="T8" i="4"/>
  <c r="Q9" i="4"/>
  <c r="P9" i="4"/>
  <c r="O9" i="4"/>
  <c r="R9" i="4"/>
  <c r="N9" i="4"/>
  <c r="J6" i="13"/>
  <c r="I6" i="13"/>
  <c r="M6" i="13"/>
  <c r="K6" i="13"/>
  <c r="L6" i="13"/>
  <c r="T24" i="13"/>
  <c r="U24" i="13"/>
  <c r="J15" i="13"/>
  <c r="I15" i="13"/>
  <c r="K15" i="13"/>
  <c r="L15" i="13"/>
  <c r="M15" i="13"/>
  <c r="I21" i="13"/>
  <c r="M21" i="13"/>
  <c r="K21" i="13"/>
  <c r="L21" i="13"/>
  <c r="J21" i="13"/>
  <c r="I18" i="13"/>
  <c r="M18" i="13"/>
  <c r="K18" i="13"/>
  <c r="J18" i="13"/>
  <c r="U18" i="13"/>
  <c r="L18" i="13"/>
  <c r="I20" i="13"/>
  <c r="M20" i="13"/>
  <c r="J20" i="13"/>
  <c r="L20" i="13"/>
  <c r="K20" i="13"/>
  <c r="L14" i="13"/>
  <c r="U14" i="13"/>
  <c r="I14" i="13"/>
  <c r="M14" i="13"/>
  <c r="J14" i="13"/>
  <c r="K14" i="13"/>
  <c r="K12" i="13"/>
  <c r="J12" i="13"/>
  <c r="L12" i="13"/>
  <c r="I12" i="13"/>
  <c r="M12" i="13"/>
  <c r="L5" i="13"/>
  <c r="K5" i="13"/>
  <c r="I5" i="13"/>
  <c r="M5" i="13"/>
  <c r="J5" i="13"/>
  <c r="K19" i="13"/>
  <c r="L19" i="13"/>
  <c r="M19" i="13"/>
  <c r="J19" i="13"/>
  <c r="I19" i="13"/>
  <c r="M23" i="13"/>
  <c r="L23" i="13"/>
  <c r="J23" i="13"/>
  <c r="K23" i="13"/>
  <c r="I23" i="13"/>
  <c r="K10" i="13"/>
  <c r="I10" i="13"/>
  <c r="M10" i="13"/>
  <c r="L10" i="13"/>
  <c r="J10" i="13"/>
  <c r="K11" i="13"/>
  <c r="M11" i="13"/>
  <c r="J11" i="13"/>
  <c r="L11" i="13"/>
  <c r="I11" i="13"/>
  <c r="J17" i="13"/>
  <c r="K17" i="13"/>
  <c r="M17" i="13"/>
  <c r="I17" i="13"/>
  <c r="U17" i="13"/>
  <c r="L17" i="13"/>
  <c r="M13" i="13"/>
  <c r="L13" i="13"/>
  <c r="K13" i="13"/>
  <c r="I13" i="13"/>
  <c r="J13" i="13"/>
  <c r="U13" i="13"/>
  <c r="J8" i="13"/>
  <c r="I8" i="13"/>
  <c r="K8" i="13"/>
  <c r="M8" i="13"/>
  <c r="L8" i="13"/>
  <c r="S28" i="2"/>
  <c r="D25" i="9" s="1"/>
  <c r="S13" i="2"/>
  <c r="N23" i="2"/>
  <c r="R23" i="2"/>
  <c r="O23" i="2"/>
  <c r="P23" i="2"/>
  <c r="Q23" i="2"/>
  <c r="O10" i="2"/>
  <c r="P10" i="2"/>
  <c r="Q10" i="2"/>
  <c r="N10" i="2"/>
  <c r="R10" i="2"/>
  <c r="O14" i="2"/>
  <c r="P14" i="2"/>
  <c r="Q14" i="2"/>
  <c r="N14" i="2"/>
  <c r="R14" i="2"/>
  <c r="N15" i="2"/>
  <c r="R15" i="2"/>
  <c r="O15" i="2"/>
  <c r="P15" i="2"/>
  <c r="Q15" i="2"/>
  <c r="P21" i="2"/>
  <c r="Q21" i="2"/>
  <c r="N21" i="2"/>
  <c r="R21" i="2"/>
  <c r="O21" i="2"/>
  <c r="P17" i="2"/>
  <c r="Q17" i="2"/>
  <c r="N17" i="2"/>
  <c r="R17" i="2"/>
  <c r="O17" i="2"/>
  <c r="Q12" i="2"/>
  <c r="N12" i="2"/>
  <c r="R12" i="2"/>
  <c r="O12" i="2"/>
  <c r="P12" i="2"/>
  <c r="O18" i="2"/>
  <c r="P18" i="2"/>
  <c r="Q18" i="2"/>
  <c r="N18" i="2"/>
  <c r="R18" i="2"/>
  <c r="N19" i="2"/>
  <c r="R19" i="2"/>
  <c r="O19" i="2"/>
  <c r="P19" i="2"/>
  <c r="Q19" i="2"/>
  <c r="Q16" i="2"/>
  <c r="N16" i="2"/>
  <c r="R16" i="2"/>
  <c r="O16" i="2"/>
  <c r="P16" i="2"/>
  <c r="P25" i="2"/>
  <c r="N25" i="2"/>
  <c r="R25" i="2"/>
  <c r="Q25" i="2"/>
  <c r="O25" i="2"/>
  <c r="P9" i="2"/>
  <c r="R9" i="2"/>
  <c r="N9" i="2"/>
  <c r="Q9" i="2"/>
  <c r="O9" i="2"/>
  <c r="O22" i="2"/>
  <c r="P22" i="2"/>
  <c r="Q22" i="2"/>
  <c r="N22" i="2"/>
  <c r="R22" i="2"/>
  <c r="Q20" i="2"/>
  <c r="N20" i="2"/>
  <c r="R20" i="2"/>
  <c r="O20" i="2"/>
  <c r="P20" i="2"/>
  <c r="O26" i="2"/>
  <c r="P26" i="2"/>
  <c r="Q26" i="2"/>
  <c r="N26" i="2"/>
  <c r="R26" i="2"/>
  <c r="N27" i="2"/>
  <c r="R27" i="2"/>
  <c r="P27" i="2"/>
  <c r="O27" i="2"/>
  <c r="Q27" i="2"/>
  <c r="Q24" i="2"/>
  <c r="R24" i="2"/>
  <c r="O24" i="2"/>
  <c r="N24" i="2"/>
  <c r="P24" i="2"/>
  <c r="T24" i="3"/>
  <c r="F23" i="9"/>
  <c r="F23" i="10"/>
  <c r="F23" i="14" s="1"/>
  <c r="T17" i="3"/>
  <c r="F16" i="9"/>
  <c r="F16" i="10"/>
  <c r="F16" i="14" s="1"/>
  <c r="T8" i="3"/>
  <c r="F7" i="10"/>
  <c r="F7" i="14" s="1"/>
  <c r="F7" i="9"/>
  <c r="Q9" i="3"/>
  <c r="N9" i="3"/>
  <c r="R9" i="3"/>
  <c r="O9" i="3"/>
  <c r="P9" i="3"/>
  <c r="E10" i="3"/>
  <c r="D11" i="3"/>
  <c r="S9" i="4" l="1"/>
  <c r="S5" i="13"/>
  <c r="R5" i="13"/>
  <c r="Q5" i="13"/>
  <c r="U5" i="13" s="1"/>
  <c r="O5" i="13"/>
  <c r="P5" i="13"/>
  <c r="E33" i="13"/>
  <c r="N6" i="13" s="1"/>
  <c r="O10" i="4"/>
  <c r="R10" i="4"/>
  <c r="N10" i="4"/>
  <c r="Q10" i="4"/>
  <c r="P10" i="4"/>
  <c r="E11" i="2"/>
  <c r="C37" i="2"/>
  <c r="D12" i="4"/>
  <c r="E11" i="4"/>
  <c r="T20" i="13"/>
  <c r="T11" i="13"/>
  <c r="T19" i="13"/>
  <c r="D25" i="11"/>
  <c r="T28" i="2"/>
  <c r="T23" i="13"/>
  <c r="T10" i="13"/>
  <c r="D25" i="10"/>
  <c r="D25" i="14" s="1"/>
  <c r="U20" i="13"/>
  <c r="V20" i="13" s="1"/>
  <c r="T6" i="13"/>
  <c r="U10" i="13"/>
  <c r="U23" i="13"/>
  <c r="T5" i="13"/>
  <c r="U12" i="13"/>
  <c r="U21" i="13"/>
  <c r="T15" i="13"/>
  <c r="V24" i="13"/>
  <c r="T8" i="13"/>
  <c r="U11" i="13"/>
  <c r="T21" i="13"/>
  <c r="T17" i="13"/>
  <c r="V17" i="13" s="1"/>
  <c r="U19" i="13"/>
  <c r="T12" i="13"/>
  <c r="T18" i="13"/>
  <c r="V18" i="13" s="1"/>
  <c r="U15" i="13"/>
  <c r="T13" i="13"/>
  <c r="V13" i="13" s="1"/>
  <c r="T14" i="13"/>
  <c r="V14" i="13" s="1"/>
  <c r="S20" i="2"/>
  <c r="D17" i="11" s="1"/>
  <c r="S16" i="2"/>
  <c r="D13" i="10" s="1"/>
  <c r="D13" i="14" s="1"/>
  <c r="S18" i="2"/>
  <c r="D15" i="9" s="1"/>
  <c r="S21" i="2"/>
  <c r="T21" i="2" s="1"/>
  <c r="S26" i="2"/>
  <c r="S9" i="2"/>
  <c r="S14" i="2"/>
  <c r="S19" i="2"/>
  <c r="S10" i="2"/>
  <c r="S23" i="2"/>
  <c r="S24" i="2"/>
  <c r="S27" i="2"/>
  <c r="S22" i="2"/>
  <c r="S25" i="2"/>
  <c r="S12" i="2"/>
  <c r="S17" i="2"/>
  <c r="S15" i="2"/>
  <c r="D10" i="9"/>
  <c r="D10" i="11"/>
  <c r="D10" i="10"/>
  <c r="D10" i="14" s="1"/>
  <c r="T13" i="2"/>
  <c r="S9" i="3"/>
  <c r="P10" i="3"/>
  <c r="Q10" i="3"/>
  <c r="O10" i="3"/>
  <c r="N10" i="3"/>
  <c r="R10" i="3"/>
  <c r="D12" i="3"/>
  <c r="E11" i="3"/>
  <c r="S10" i="4" l="1"/>
  <c r="E35" i="13"/>
  <c r="N8" i="13" s="1"/>
  <c r="E34" i="13"/>
  <c r="N7" i="13" s="1"/>
  <c r="P11" i="4"/>
  <c r="N11" i="4"/>
  <c r="R11" i="4"/>
  <c r="Q11" i="4"/>
  <c r="O11" i="4"/>
  <c r="H7" i="13"/>
  <c r="N11" i="2"/>
  <c r="Q11" i="2"/>
  <c r="R11" i="2"/>
  <c r="P11" i="2"/>
  <c r="O11" i="2"/>
  <c r="P6" i="13"/>
  <c r="S6" i="13"/>
  <c r="O6" i="13"/>
  <c r="R6" i="13"/>
  <c r="Q6" i="13"/>
  <c r="D13" i="4"/>
  <c r="E12" i="4"/>
  <c r="H8" i="9"/>
  <c r="T9" i="4"/>
  <c r="F8" i="11"/>
  <c r="F8" i="15" s="1"/>
  <c r="I18" i="15"/>
  <c r="I18" i="14"/>
  <c r="D25" i="15"/>
  <c r="I14" i="15"/>
  <c r="I14" i="14"/>
  <c r="D17" i="15"/>
  <c r="I25" i="15"/>
  <c r="I25" i="14"/>
  <c r="I15" i="15"/>
  <c r="I15" i="14"/>
  <c r="D10" i="15"/>
  <c r="I19" i="15"/>
  <c r="I19" i="14"/>
  <c r="I21" i="14"/>
  <c r="I21" i="15"/>
  <c r="V11" i="13"/>
  <c r="V19" i="13"/>
  <c r="I20" i="10" s="1"/>
  <c r="I15" i="11"/>
  <c r="I15" i="10"/>
  <c r="I18" i="11"/>
  <c r="I18" i="10"/>
  <c r="I14" i="11"/>
  <c r="I14" i="10"/>
  <c r="I25" i="11"/>
  <c r="I25" i="10"/>
  <c r="I19" i="11"/>
  <c r="I19" i="10"/>
  <c r="I12" i="11"/>
  <c r="I21" i="11"/>
  <c r="I21" i="10"/>
  <c r="V23" i="13"/>
  <c r="V12" i="13"/>
  <c r="V21" i="13"/>
  <c r="T18" i="2"/>
  <c r="V10" i="13"/>
  <c r="D15" i="11"/>
  <c r="D15" i="10"/>
  <c r="D15" i="14" s="1"/>
  <c r="V15" i="13"/>
  <c r="V5" i="13"/>
  <c r="D18" i="11"/>
  <c r="D18" i="9"/>
  <c r="T20" i="2"/>
  <c r="D17" i="10"/>
  <c r="D17" i="14" s="1"/>
  <c r="D18" i="10"/>
  <c r="D18" i="14" s="1"/>
  <c r="D17" i="9"/>
  <c r="D13" i="11"/>
  <c r="T16" i="2"/>
  <c r="D13" i="9"/>
  <c r="D14" i="9"/>
  <c r="D14" i="11"/>
  <c r="D14" i="10"/>
  <c r="D14" i="14" s="1"/>
  <c r="T17" i="2"/>
  <c r="T14" i="2"/>
  <c r="D11" i="10"/>
  <c r="D11" i="14" s="1"/>
  <c r="D11" i="11"/>
  <c r="D11" i="9"/>
  <c r="D9" i="10"/>
  <c r="D9" i="14" s="1"/>
  <c r="T12" i="2"/>
  <c r="D9" i="9"/>
  <c r="D9" i="11"/>
  <c r="D21" i="10"/>
  <c r="D21" i="14" s="1"/>
  <c r="T24" i="2"/>
  <c r="D21" i="11"/>
  <c r="D21" i="9"/>
  <c r="D16" i="9"/>
  <c r="D16" i="11"/>
  <c r="T19" i="2"/>
  <c r="D16" i="10"/>
  <c r="D6" i="9"/>
  <c r="T9" i="2"/>
  <c r="D6" i="10"/>
  <c r="D6" i="11"/>
  <c r="D7" i="11"/>
  <c r="T10" i="2"/>
  <c r="D7" i="9"/>
  <c r="D7" i="10"/>
  <c r="D22" i="10"/>
  <c r="D22" i="14" s="1"/>
  <c r="D22" i="9"/>
  <c r="D22" i="11"/>
  <c r="T25" i="2"/>
  <c r="D23" i="11"/>
  <c r="T26" i="2"/>
  <c r="D23" i="9"/>
  <c r="D23" i="10"/>
  <c r="D24" i="10"/>
  <c r="D24" i="14" s="1"/>
  <c r="T27" i="2"/>
  <c r="D24" i="9"/>
  <c r="D24" i="11"/>
  <c r="D12" i="10"/>
  <c r="D12" i="14" s="1"/>
  <c r="D12" i="9"/>
  <c r="T15" i="2"/>
  <c r="D12" i="11"/>
  <c r="D19" i="11"/>
  <c r="D19" i="9"/>
  <c r="D19" i="10"/>
  <c r="D19" i="14" s="1"/>
  <c r="T22" i="2"/>
  <c r="D20" i="11"/>
  <c r="T23" i="2"/>
  <c r="D20" i="9"/>
  <c r="D20" i="10"/>
  <c r="D20" i="14" s="1"/>
  <c r="T9" i="3"/>
  <c r="F8" i="9"/>
  <c r="F8" i="10"/>
  <c r="F8" i="14" s="1"/>
  <c r="O11" i="3"/>
  <c r="P11" i="3"/>
  <c r="N11" i="3"/>
  <c r="Q11" i="3"/>
  <c r="R11" i="3"/>
  <c r="S10" i="3"/>
  <c r="D13" i="3"/>
  <c r="E12" i="3"/>
  <c r="P7" i="13" l="1"/>
  <c r="R7" i="13"/>
  <c r="Q7" i="13"/>
  <c r="S7" i="13"/>
  <c r="O7" i="13"/>
  <c r="D14" i="4"/>
  <c r="E13" i="4"/>
  <c r="S11" i="2"/>
  <c r="O8" i="13"/>
  <c r="R8" i="13"/>
  <c r="S8" i="13"/>
  <c r="P8" i="13"/>
  <c r="Q8" i="13"/>
  <c r="N12" i="4"/>
  <c r="Q12" i="4"/>
  <c r="R12" i="4"/>
  <c r="O12" i="4"/>
  <c r="P12" i="4"/>
  <c r="U6" i="13"/>
  <c r="V6" i="13" s="1"/>
  <c r="I7" i="15" s="1"/>
  <c r="I7" i="13"/>
  <c r="J7" i="13"/>
  <c r="K7" i="13"/>
  <c r="M7" i="13"/>
  <c r="L7" i="13"/>
  <c r="S11" i="4"/>
  <c r="H9" i="9"/>
  <c r="F9" i="11"/>
  <c r="F9" i="15" s="1"/>
  <c r="T10" i="4"/>
  <c r="I16" i="14"/>
  <c r="I16" i="15"/>
  <c r="I24" i="14"/>
  <c r="I24" i="15"/>
  <c r="D12" i="15"/>
  <c r="G6" i="11"/>
  <c r="D6" i="15"/>
  <c r="G6" i="15" s="1"/>
  <c r="G6" i="10"/>
  <c r="D6" i="14"/>
  <c r="G6" i="14" s="1"/>
  <c r="G15" i="11"/>
  <c r="J15" i="11" s="1"/>
  <c r="D15" i="15"/>
  <c r="G15" i="15" s="1"/>
  <c r="J15" i="15" s="1"/>
  <c r="D20" i="15"/>
  <c r="D19" i="15"/>
  <c r="D23" i="15"/>
  <c r="G7" i="11"/>
  <c r="D7" i="15"/>
  <c r="G7" i="15" s="1"/>
  <c r="I20" i="11"/>
  <c r="I20" i="14"/>
  <c r="I20" i="15"/>
  <c r="D24" i="15"/>
  <c r="G23" i="10"/>
  <c r="J23" i="10" s="1"/>
  <c r="D23" i="14"/>
  <c r="G23" i="14" s="1"/>
  <c r="J23" i="14" s="1"/>
  <c r="G7" i="10"/>
  <c r="D7" i="14"/>
  <c r="G7" i="14" s="1"/>
  <c r="G16" i="10"/>
  <c r="D16" i="14"/>
  <c r="G16" i="14" s="1"/>
  <c r="G9" i="11"/>
  <c r="D9" i="15"/>
  <c r="I6" i="14"/>
  <c r="I6" i="15"/>
  <c r="I22" i="15"/>
  <c r="I22" i="14"/>
  <c r="I12" i="14"/>
  <c r="I12" i="15"/>
  <c r="D22" i="15"/>
  <c r="D21" i="15"/>
  <c r="D11" i="15"/>
  <c r="D16" i="15"/>
  <c r="D14" i="15"/>
  <c r="D13" i="15"/>
  <c r="D18" i="15"/>
  <c r="I11" i="15"/>
  <c r="I11" i="14"/>
  <c r="I13" i="14"/>
  <c r="I13" i="15"/>
  <c r="I12" i="10"/>
  <c r="I22" i="11"/>
  <c r="I22" i="10"/>
  <c r="I11" i="11"/>
  <c r="I11" i="10"/>
  <c r="I13" i="11"/>
  <c r="I13" i="10"/>
  <c r="I6" i="11"/>
  <c r="I6" i="10"/>
  <c r="I16" i="11"/>
  <c r="I16" i="10"/>
  <c r="J16" i="10" s="1"/>
  <c r="I24" i="11"/>
  <c r="I24" i="10"/>
  <c r="T10" i="3"/>
  <c r="F9" i="9"/>
  <c r="F9" i="10"/>
  <c r="N12" i="3"/>
  <c r="R12" i="3"/>
  <c r="O12" i="3"/>
  <c r="Q12" i="3"/>
  <c r="P12" i="3"/>
  <c r="S11" i="3"/>
  <c r="D14" i="3"/>
  <c r="E13" i="3"/>
  <c r="J6" i="10" l="1"/>
  <c r="I7" i="10"/>
  <c r="I7" i="11"/>
  <c r="J7" i="11" s="1"/>
  <c r="I7" i="14"/>
  <c r="J7" i="14" s="1"/>
  <c r="G9" i="15"/>
  <c r="T11" i="4"/>
  <c r="F10" i="11"/>
  <c r="H10" i="9"/>
  <c r="T7" i="13"/>
  <c r="U7" i="13"/>
  <c r="D8" i="11"/>
  <c r="D8" i="10"/>
  <c r="T11" i="2"/>
  <c r="D8" i="9"/>
  <c r="D26" i="9" s="1"/>
  <c r="Q13" i="4"/>
  <c r="P13" i="4"/>
  <c r="N13" i="4"/>
  <c r="R13" i="4"/>
  <c r="O13" i="4"/>
  <c r="S12" i="4"/>
  <c r="U8" i="13"/>
  <c r="V8" i="13" s="1"/>
  <c r="D15" i="4"/>
  <c r="E14" i="4"/>
  <c r="J7" i="15"/>
  <c r="J6" i="14"/>
  <c r="J16" i="14"/>
  <c r="J6" i="15"/>
  <c r="J7" i="10"/>
  <c r="J6" i="11"/>
  <c r="G9" i="10"/>
  <c r="F9" i="14"/>
  <c r="G9" i="14" s="1"/>
  <c r="T11" i="3"/>
  <c r="F10" i="9"/>
  <c r="F10" i="10"/>
  <c r="Q13" i="3"/>
  <c r="N13" i="3"/>
  <c r="R13" i="3"/>
  <c r="O13" i="3"/>
  <c r="P13" i="3"/>
  <c r="S12" i="3"/>
  <c r="D15" i="3"/>
  <c r="E14" i="3"/>
  <c r="T12" i="4" l="1"/>
  <c r="F11" i="11"/>
  <c r="H11" i="9"/>
  <c r="F10" i="15"/>
  <c r="G10" i="15" s="1"/>
  <c r="J10" i="15" s="1"/>
  <c r="G10" i="11"/>
  <c r="J10" i="11" s="1"/>
  <c r="R14" i="4"/>
  <c r="Q14" i="4"/>
  <c r="P14" i="4"/>
  <c r="O14" i="4"/>
  <c r="N14" i="4"/>
  <c r="S13" i="4"/>
  <c r="V7" i="13"/>
  <c r="D17" i="4"/>
  <c r="E15" i="4"/>
  <c r="D8" i="14"/>
  <c r="G8" i="14" s="1"/>
  <c r="G8" i="10"/>
  <c r="I9" i="15"/>
  <c r="J9" i="15" s="1"/>
  <c r="I9" i="14"/>
  <c r="J9" i="14" s="1"/>
  <c r="I9" i="11"/>
  <c r="J9" i="11" s="1"/>
  <c r="I9" i="10"/>
  <c r="J9" i="10" s="1"/>
  <c r="G8" i="11"/>
  <c r="D8" i="15"/>
  <c r="G8" i="15" s="1"/>
  <c r="G10" i="10"/>
  <c r="J10" i="10" s="1"/>
  <c r="F10" i="14"/>
  <c r="G10" i="14" s="1"/>
  <c r="J10" i="14" s="1"/>
  <c r="T12" i="3"/>
  <c r="F11" i="9"/>
  <c r="F11" i="10"/>
  <c r="S13" i="3"/>
  <c r="P14" i="3"/>
  <c r="Q14" i="3"/>
  <c r="O14" i="3"/>
  <c r="N14" i="3"/>
  <c r="R14" i="3"/>
  <c r="D16" i="3"/>
  <c r="E15" i="3"/>
  <c r="T13" i="4" l="1"/>
  <c r="F12" i="11"/>
  <c r="H12" i="9"/>
  <c r="P15" i="4"/>
  <c r="O15" i="4"/>
  <c r="R15" i="4"/>
  <c r="N15" i="4"/>
  <c r="Q15" i="4"/>
  <c r="S14" i="4"/>
  <c r="F11" i="15"/>
  <c r="G11" i="15" s="1"/>
  <c r="J11" i="15" s="1"/>
  <c r="G11" i="11"/>
  <c r="J11" i="11" s="1"/>
  <c r="D18" i="4"/>
  <c r="E17" i="4"/>
  <c r="I8" i="15"/>
  <c r="J8" i="15" s="1"/>
  <c r="I8" i="10"/>
  <c r="J8" i="10" s="1"/>
  <c r="I8" i="11"/>
  <c r="J8" i="11" s="1"/>
  <c r="I8" i="14"/>
  <c r="J8" i="14" s="1"/>
  <c r="G11" i="10"/>
  <c r="J11" i="10" s="1"/>
  <c r="F11" i="14"/>
  <c r="G11" i="14" s="1"/>
  <c r="J11" i="14" s="1"/>
  <c r="T13" i="3"/>
  <c r="F12" i="9"/>
  <c r="F12" i="10"/>
  <c r="O15" i="3"/>
  <c r="P15" i="3"/>
  <c r="R15" i="3"/>
  <c r="Q15" i="3"/>
  <c r="N15" i="3"/>
  <c r="S14" i="3"/>
  <c r="D18" i="3"/>
  <c r="E16" i="3"/>
  <c r="S15" i="4" l="1"/>
  <c r="D19" i="4"/>
  <c r="E18" i="4"/>
  <c r="F12" i="15"/>
  <c r="G12" i="15" s="1"/>
  <c r="J12" i="15" s="1"/>
  <c r="G12" i="11"/>
  <c r="J12" i="11" s="1"/>
  <c r="P17" i="4"/>
  <c r="O17" i="4"/>
  <c r="R17" i="4"/>
  <c r="N17" i="4"/>
  <c r="Q17" i="4"/>
  <c r="H13" i="9"/>
  <c r="T14" i="4"/>
  <c r="F13" i="11"/>
  <c r="G12" i="10"/>
  <c r="J12" i="10" s="1"/>
  <c r="F12" i="14"/>
  <c r="G12" i="14" s="1"/>
  <c r="J12" i="14" s="1"/>
  <c r="T14" i="3"/>
  <c r="F13" i="9"/>
  <c r="F13" i="10"/>
  <c r="N16" i="3"/>
  <c r="R16" i="3"/>
  <c r="O16" i="3"/>
  <c r="P16" i="3"/>
  <c r="Q16" i="3"/>
  <c r="S15" i="3"/>
  <c r="D19" i="3"/>
  <c r="E18" i="3"/>
  <c r="F13" i="15" l="1"/>
  <c r="G13" i="15" s="1"/>
  <c r="J13" i="15" s="1"/>
  <c r="G13" i="11"/>
  <c r="J13" i="11" s="1"/>
  <c r="S17" i="4"/>
  <c r="D20" i="4"/>
  <c r="E19" i="4"/>
  <c r="N18" i="4"/>
  <c r="P18" i="4"/>
  <c r="O18" i="4"/>
  <c r="R18" i="4"/>
  <c r="Q18" i="4"/>
  <c r="T15" i="4"/>
  <c r="F14" i="11"/>
  <c r="H14" i="9"/>
  <c r="G13" i="10"/>
  <c r="J13" i="10" s="1"/>
  <c r="F13" i="14"/>
  <c r="G13" i="14" s="1"/>
  <c r="J13" i="14" s="1"/>
  <c r="T15" i="3"/>
  <c r="F14" i="10"/>
  <c r="F14" i="9"/>
  <c r="P18" i="3"/>
  <c r="Q18" i="3"/>
  <c r="O18" i="3"/>
  <c r="N18" i="3"/>
  <c r="R18" i="3"/>
  <c r="S16" i="3"/>
  <c r="D20" i="3"/>
  <c r="E19" i="3"/>
  <c r="F14" i="15" l="1"/>
  <c r="G14" i="15" s="1"/>
  <c r="J14" i="15" s="1"/>
  <c r="G14" i="11"/>
  <c r="J14" i="11" s="1"/>
  <c r="D21" i="4"/>
  <c r="E20" i="4"/>
  <c r="N19" i="4"/>
  <c r="Q19" i="4"/>
  <c r="P19" i="4"/>
  <c r="O19" i="4"/>
  <c r="R19" i="4"/>
  <c r="F16" i="11"/>
  <c r="H16" i="9"/>
  <c r="T17" i="4"/>
  <c r="S18" i="4"/>
  <c r="G14" i="10"/>
  <c r="J14" i="10" s="1"/>
  <c r="F14" i="14"/>
  <c r="G14" i="14" s="1"/>
  <c r="J14" i="14" s="1"/>
  <c r="S18" i="3"/>
  <c r="T16" i="3"/>
  <c r="F15" i="10"/>
  <c r="F15" i="9"/>
  <c r="O19" i="3"/>
  <c r="N19" i="3"/>
  <c r="P19" i="3"/>
  <c r="Q19" i="3"/>
  <c r="R19" i="3"/>
  <c r="D21" i="3"/>
  <c r="E20" i="3"/>
  <c r="S19" i="4" l="1"/>
  <c r="F16" i="15"/>
  <c r="G16" i="15" s="1"/>
  <c r="J16" i="15" s="1"/>
  <c r="G16" i="11"/>
  <c r="J16" i="11" s="1"/>
  <c r="H17" i="9"/>
  <c r="F17" i="11"/>
  <c r="T18" i="4"/>
  <c r="P20" i="4"/>
  <c r="O20" i="4"/>
  <c r="R20" i="4"/>
  <c r="N20" i="4"/>
  <c r="Q20" i="4"/>
  <c r="D22" i="4"/>
  <c r="E21" i="4"/>
  <c r="G15" i="10"/>
  <c r="J15" i="10" s="1"/>
  <c r="F15" i="14"/>
  <c r="G15" i="14" s="1"/>
  <c r="J15" i="14" s="1"/>
  <c r="F17" i="10"/>
  <c r="F17" i="9"/>
  <c r="T18" i="3"/>
  <c r="N20" i="3"/>
  <c r="R20" i="3"/>
  <c r="O20" i="3"/>
  <c r="Q20" i="3"/>
  <c r="P20" i="3"/>
  <c r="S19" i="3"/>
  <c r="D22" i="3"/>
  <c r="E21" i="3"/>
  <c r="S20" i="4" l="1"/>
  <c r="R21" i="4"/>
  <c r="N21" i="4"/>
  <c r="Q21" i="4"/>
  <c r="P21" i="4"/>
  <c r="O21" i="4"/>
  <c r="D23" i="4"/>
  <c r="E22" i="4"/>
  <c r="F17" i="15"/>
  <c r="G17" i="15" s="1"/>
  <c r="J17" i="15" s="1"/>
  <c r="G17" i="11"/>
  <c r="J17" i="11" s="1"/>
  <c r="H18" i="9"/>
  <c r="T19" i="4"/>
  <c r="F18" i="11"/>
  <c r="G17" i="10"/>
  <c r="J17" i="10" s="1"/>
  <c r="F17" i="14"/>
  <c r="G17" i="14" s="1"/>
  <c r="J17" i="14" s="1"/>
  <c r="T19" i="3"/>
  <c r="F18" i="9"/>
  <c r="F18" i="10"/>
  <c r="Q21" i="3"/>
  <c r="N21" i="3"/>
  <c r="R21" i="3"/>
  <c r="O21" i="3"/>
  <c r="P21" i="3"/>
  <c r="S20" i="3"/>
  <c r="D23" i="3"/>
  <c r="E22" i="3"/>
  <c r="F18" i="15" l="1"/>
  <c r="G18" i="15" s="1"/>
  <c r="J18" i="15" s="1"/>
  <c r="G18" i="11"/>
  <c r="J18" i="11" s="1"/>
  <c r="N22" i="4"/>
  <c r="O22" i="4"/>
  <c r="P22" i="4"/>
  <c r="R22" i="4"/>
  <c r="Q22" i="4"/>
  <c r="F19" i="11"/>
  <c r="T20" i="4"/>
  <c r="H19" i="9"/>
  <c r="D24" i="4"/>
  <c r="E23" i="4"/>
  <c r="S21" i="4"/>
  <c r="G18" i="10"/>
  <c r="J18" i="10" s="1"/>
  <c r="F18" i="14"/>
  <c r="G18" i="14" s="1"/>
  <c r="J18" i="14" s="1"/>
  <c r="T20" i="3"/>
  <c r="F19" i="10"/>
  <c r="F19" i="9"/>
  <c r="S21" i="3"/>
  <c r="P22" i="3"/>
  <c r="Q22" i="3"/>
  <c r="N22" i="3"/>
  <c r="R22" i="3"/>
  <c r="O22" i="3"/>
  <c r="D25" i="3"/>
  <c r="E23" i="3"/>
  <c r="S22" i="4" l="1"/>
  <c r="N23" i="4"/>
  <c r="O23" i="4"/>
  <c r="R23" i="4"/>
  <c r="Q23" i="4"/>
  <c r="P23" i="4"/>
  <c r="F19" i="15"/>
  <c r="G19" i="15" s="1"/>
  <c r="J19" i="15" s="1"/>
  <c r="G19" i="11"/>
  <c r="J19" i="11" s="1"/>
  <c r="D25" i="4"/>
  <c r="E24" i="4"/>
  <c r="T21" i="4"/>
  <c r="H20" i="9"/>
  <c r="F20" i="11"/>
  <c r="G19" i="10"/>
  <c r="J19" i="10" s="1"/>
  <c r="F19" i="14"/>
  <c r="G19" i="14" s="1"/>
  <c r="J19" i="14" s="1"/>
  <c r="S22" i="3"/>
  <c r="T22" i="3" s="1"/>
  <c r="T21" i="3"/>
  <c r="F20" i="9"/>
  <c r="F20" i="10"/>
  <c r="O23" i="3"/>
  <c r="R23" i="3"/>
  <c r="P23" i="3"/>
  <c r="N23" i="3"/>
  <c r="Q23" i="3"/>
  <c r="D26" i="3"/>
  <c r="E25" i="3"/>
  <c r="N24" i="4" l="1"/>
  <c r="O24" i="4"/>
  <c r="P24" i="4"/>
  <c r="R24" i="4"/>
  <c r="Q24" i="4"/>
  <c r="S23" i="4"/>
  <c r="F20" i="15"/>
  <c r="G20" i="15" s="1"/>
  <c r="J20" i="15" s="1"/>
  <c r="G20" i="11"/>
  <c r="J20" i="11" s="1"/>
  <c r="D26" i="4"/>
  <c r="E25" i="4"/>
  <c r="T22" i="4"/>
  <c r="H21" i="9"/>
  <c r="F21" i="11"/>
  <c r="G20" i="10"/>
  <c r="J20" i="10" s="1"/>
  <c r="F20" i="14"/>
  <c r="G20" i="14" s="1"/>
  <c r="J20" i="14" s="1"/>
  <c r="F21" i="10"/>
  <c r="S23" i="3"/>
  <c r="F21" i="9"/>
  <c r="Q25" i="3"/>
  <c r="N25" i="3"/>
  <c r="R25" i="3"/>
  <c r="P25" i="3"/>
  <c r="O25" i="3"/>
  <c r="E26" i="3"/>
  <c r="C36" i="3"/>
  <c r="Q25" i="4" l="1"/>
  <c r="P25" i="4"/>
  <c r="O25" i="4"/>
  <c r="R25" i="4"/>
  <c r="N25" i="4"/>
  <c r="T23" i="4"/>
  <c r="F22" i="11"/>
  <c r="H22" i="9"/>
  <c r="F21" i="15"/>
  <c r="G21" i="15" s="1"/>
  <c r="J21" i="15" s="1"/>
  <c r="G21" i="11"/>
  <c r="J21" i="11" s="1"/>
  <c r="E26" i="4"/>
  <c r="C36" i="4"/>
  <c r="S24" i="4"/>
  <c r="G21" i="10"/>
  <c r="J21" i="10" s="1"/>
  <c r="F21" i="14"/>
  <c r="G21" i="14" s="1"/>
  <c r="J21" i="14" s="1"/>
  <c r="T23" i="3"/>
  <c r="F22" i="10"/>
  <c r="F22" i="9"/>
  <c r="S25" i="3"/>
  <c r="P26" i="3"/>
  <c r="O26" i="3"/>
  <c r="Q26" i="3"/>
  <c r="N26" i="3"/>
  <c r="R26" i="3"/>
  <c r="O26" i="4" l="1"/>
  <c r="R26" i="4"/>
  <c r="N26" i="4"/>
  <c r="Q26" i="4"/>
  <c r="P26" i="4"/>
  <c r="F22" i="15"/>
  <c r="G22" i="15" s="1"/>
  <c r="J22" i="15" s="1"/>
  <c r="G22" i="11"/>
  <c r="J22" i="11" s="1"/>
  <c r="F23" i="11"/>
  <c r="H23" i="9"/>
  <c r="T24" i="4"/>
  <c r="S25" i="4"/>
  <c r="G22" i="10"/>
  <c r="J22" i="10" s="1"/>
  <c r="F22" i="14"/>
  <c r="G22" i="14" s="1"/>
  <c r="J22" i="14" s="1"/>
  <c r="T25" i="3"/>
  <c r="F24" i="9"/>
  <c r="F24" i="10"/>
  <c r="S26" i="3"/>
  <c r="S26" i="4" l="1"/>
  <c r="F23" i="15"/>
  <c r="G23" i="15" s="1"/>
  <c r="J23" i="15" s="1"/>
  <c r="G23" i="11"/>
  <c r="J23" i="11" s="1"/>
  <c r="F24" i="11"/>
  <c r="H24" i="9"/>
  <c r="T25" i="4"/>
  <c r="G24" i="10"/>
  <c r="J24" i="10" s="1"/>
  <c r="F24" i="14"/>
  <c r="G24" i="14" s="1"/>
  <c r="J24" i="14" s="1"/>
  <c r="T26" i="3"/>
  <c r="F25" i="9"/>
  <c r="F26" i="9" s="1"/>
  <c r="F25" i="10"/>
  <c r="F24" i="15" l="1"/>
  <c r="G24" i="15" s="1"/>
  <c r="J24" i="15" s="1"/>
  <c r="G24" i="11"/>
  <c r="J24" i="11" s="1"/>
  <c r="F25" i="15"/>
  <c r="G25" i="15" s="1"/>
  <c r="J25" i="15" s="1"/>
  <c r="H25" i="9"/>
  <c r="H26" i="9" s="1"/>
  <c r="F25" i="11"/>
  <c r="G25" i="11" s="1"/>
  <c r="J25" i="11" s="1"/>
  <c r="T26" i="4"/>
  <c r="G25" i="10"/>
  <c r="J25" i="10" s="1"/>
  <c r="J27" i="10" s="1"/>
  <c r="F25" i="14"/>
  <c r="G25" i="14" s="1"/>
  <c r="J25" i="14" s="1"/>
  <c r="J26" i="15" l="1"/>
  <c r="J27" i="15"/>
  <c r="J26" i="10"/>
  <c r="J27" i="11"/>
  <c r="J26" i="11"/>
  <c r="J26" i="14"/>
  <c r="J27" i="14"/>
</calcChain>
</file>

<file path=xl/sharedStrings.xml><?xml version="1.0" encoding="utf-8"?>
<sst xmlns="http://schemas.openxmlformats.org/spreadsheetml/2006/main" count="484" uniqueCount="150">
  <si>
    <t>Carpeta Asfáltica</t>
  </si>
  <si>
    <t>RPC</t>
  </si>
  <si>
    <t>Sellado de Fisuras</t>
  </si>
  <si>
    <t xml:space="preserve">COSTO </t>
  </si>
  <si>
    <t>Financiero</t>
  </si>
  <si>
    <t>Economico</t>
  </si>
  <si>
    <t>TAREA</t>
  </si>
  <si>
    <t>UNIDAD</t>
  </si>
  <si>
    <t xml:space="preserve"> U$S/km</t>
  </si>
  <si>
    <t xml:space="preserve">Recapado de 20 cm en calzada y banquinas </t>
  </si>
  <si>
    <t>U$S/M2</t>
  </si>
  <si>
    <t>Obra ampliación de 2 a 4 carriles R3_R1_SJ</t>
  </si>
  <si>
    <t>Recapado de 12 cm en calzada y banquina</t>
  </si>
  <si>
    <t>Recapado de 8 cm en calzada y banquina</t>
  </si>
  <si>
    <t>U$S/m2</t>
  </si>
  <si>
    <t>Recapado de 5 cm en calzada y banquina</t>
  </si>
  <si>
    <t>Recapado de 2.5 cm en calzada y banquina</t>
  </si>
  <si>
    <t>U$S/M3</t>
  </si>
  <si>
    <t>Microaglomerado 10 mm de espesor</t>
  </si>
  <si>
    <t>Tratamiento de Sellado en calzada</t>
  </si>
  <si>
    <t>Fresado y Reposición de calzada</t>
  </si>
  <si>
    <t>Lechada asfáltica</t>
  </si>
  <si>
    <t>Bacheo en trat. superficial</t>
  </si>
  <si>
    <t xml:space="preserve">Bacheo con mezcla asfáltica </t>
  </si>
  <si>
    <t>Recargo Base Granular de 20 cm + TBD, banq con TBS</t>
  </si>
  <si>
    <t>Ensanche+R BG 20 cm + TBD, banq con TBS</t>
  </si>
  <si>
    <t>Reciclado y Estabilizado c/CP 25 cm + TBD, banq con TBS</t>
  </si>
  <si>
    <t>Reciclado y Estabilizado c/CP 25 cm+10 cm RB+TBD, banq con TBS</t>
  </si>
  <si>
    <t>Tratamiento superficial doble con  bacheo previo al 3%</t>
  </si>
  <si>
    <t>Tratamiento superficial simple con  bacheo previo al 3%</t>
  </si>
  <si>
    <t>Ensanche+ Recargo de 40 cm CBR 80 + TBD</t>
  </si>
  <si>
    <t>Reparación de Bordes de Juntas y Grietas</t>
  </si>
  <si>
    <t>Cepillado de losas con diamante (6 mm)</t>
  </si>
  <si>
    <t>U$S/m2/mm</t>
  </si>
  <si>
    <t>Demolición y Reposición de Losas</t>
  </si>
  <si>
    <t>Sellado de Juntas</t>
  </si>
  <si>
    <t>U$S/M</t>
  </si>
  <si>
    <t>Recapado de Hormigón 15 cm</t>
  </si>
  <si>
    <t>Rutas Pavimentadas con Carpeta Asfáltica</t>
  </si>
  <si>
    <t>U$S/km-año</t>
  </si>
  <si>
    <t>Rutas Pavimentadas con Tratamiento Bituminoso</t>
  </si>
  <si>
    <t>Rutas Pavimentadas con Hormigón</t>
  </si>
  <si>
    <t>Mantenimiento recurrente: incluye bacheos, sellado de peladuras y fisuras lineales hasta 2% con ancho &lt; 3mm</t>
  </si>
  <si>
    <t xml:space="preserve">y acondicionamiento de la Señalización (H y V), Faja Dominio Publico y Drenaje (prof cunetas y limpieza alcantarillas) </t>
  </si>
  <si>
    <t>Factor de ajuste de ancho: Ajusta en los Recapados el costo por m2 para que multiplicando por el area de calzada de cómo resultado</t>
  </si>
  <si>
    <t>el monto del recapado del tramo incluyendo la banquina</t>
  </si>
  <si>
    <t>N°</t>
  </si>
  <si>
    <t>Tratamiento Superficial</t>
  </si>
  <si>
    <t>Hormigón</t>
  </si>
  <si>
    <t>Mant. Recurrente con Proyecto</t>
  </si>
  <si>
    <t>Mant. Recurrente sin Proyecto</t>
  </si>
  <si>
    <t>Mant. Rutinario y Periódico</t>
  </si>
  <si>
    <t>Evolución del Tránsito</t>
  </si>
  <si>
    <t xml:space="preserve">VOC+tiempo de viaje </t>
  </si>
  <si>
    <t>Costo vehícular</t>
  </si>
  <si>
    <t>Año</t>
  </si>
  <si>
    <t>Costo inicial</t>
  </si>
  <si>
    <t>IRI</t>
  </si>
  <si>
    <t xml:space="preserve">Costo de obra </t>
  </si>
  <si>
    <t>Dirección Técnica</t>
  </si>
  <si>
    <t>Total</t>
  </si>
  <si>
    <t>Alternativa I - By Pass Pan de Azúcar</t>
  </si>
  <si>
    <t>Costo de Manten.</t>
  </si>
  <si>
    <t>Autos</t>
  </si>
  <si>
    <t>Omnibus</t>
  </si>
  <si>
    <t>Camiones Med</t>
  </si>
  <si>
    <t>Camiones Semi</t>
  </si>
  <si>
    <t>Camiones Pesados</t>
  </si>
  <si>
    <t>Total por año</t>
  </si>
  <si>
    <t xml:space="preserve">Política de mantenimiento  </t>
  </si>
  <si>
    <t>Alternativa Base</t>
  </si>
  <si>
    <t>Alternativa II - By Pass Pan de Azúcar</t>
  </si>
  <si>
    <t>COSTOS DE ESTANDARES DE CONSERVACIÓN 2014</t>
  </si>
  <si>
    <t>Evolución del IRI</t>
  </si>
  <si>
    <t>Menor</t>
  </si>
  <si>
    <t>Evolución</t>
  </si>
  <si>
    <t>4</t>
  </si>
  <si>
    <t>5</t>
  </si>
  <si>
    <t>&gt;5</t>
  </si>
  <si>
    <t>IRI medio</t>
  </si>
  <si>
    <t>Longitud:</t>
  </si>
  <si>
    <t>1.00 km</t>
  </si>
  <si>
    <t>Ancho:</t>
  </si>
  <si>
    <t>10.00 m</t>
  </si>
  <si>
    <t>Rampa + Pendiente:</t>
  </si>
  <si>
    <t>5.00 m/km</t>
  </si>
  <si>
    <t>Curvatura:</t>
  </si>
  <si>
    <t>20.00 º/km</t>
  </si>
  <si>
    <t>Camiones Medianos</t>
  </si>
  <si>
    <t xml:space="preserve">Camiones Semi </t>
  </si>
  <si>
    <t>VM km/h)</t>
  </si>
  <si>
    <t>VOC</t>
  </si>
  <si>
    <t>T de V</t>
  </si>
  <si>
    <t>VOC Rural 110 km/h</t>
  </si>
  <si>
    <t>Longitud</t>
  </si>
  <si>
    <t>TPDA Autos</t>
  </si>
  <si>
    <t>TPDA Omnibus</t>
  </si>
  <si>
    <t>TPDA Camiones medianos</t>
  </si>
  <si>
    <t>TPDA Camiones semi-pesados</t>
  </si>
  <si>
    <t>TPDA Camiones pesados</t>
  </si>
  <si>
    <t>Alternativa Mezcla</t>
  </si>
  <si>
    <t>Alternativa Hormigón</t>
  </si>
  <si>
    <t>Costos Inv. + Mantenimiento</t>
  </si>
  <si>
    <t>Costo Operación Vehícular</t>
  </si>
  <si>
    <t>Comp VOC</t>
  </si>
  <si>
    <t>Comp Costos Proyecto</t>
  </si>
  <si>
    <t>Beneficios Exogenos</t>
  </si>
  <si>
    <t>Beneficios Netos</t>
  </si>
  <si>
    <t>Valor Residual</t>
  </si>
  <si>
    <t>Obra Nueva</t>
  </si>
  <si>
    <t>Final de la vida útil</t>
  </si>
  <si>
    <t xml:space="preserve">Actual </t>
  </si>
  <si>
    <t>Valor de la Obra</t>
  </si>
  <si>
    <t>TIR</t>
  </si>
  <si>
    <t>VAN (USD) al 10%</t>
  </si>
  <si>
    <t>TPDA Ruta 9 (excluyendo usuarios de Ruta 60/Pan de Azucar)</t>
  </si>
  <si>
    <t>COMPARACIÓN DE COSTOS ENTRE ALTERNATIVAS</t>
  </si>
  <si>
    <t>COMPARACIÓN ALTERNATIVA BASE VS ALTERNATIVA I - PAV ASFÁLTICO</t>
  </si>
  <si>
    <t>COMPARACIÓN ALTERNATIVA BASE VS ALTERNATIVA II - PAV. HORMIGÓN</t>
  </si>
  <si>
    <t>VOC Urbano 50 km/h</t>
  </si>
  <si>
    <t>VOC Urbano 60 km/h</t>
  </si>
  <si>
    <t>VOC+tiempo de viaje  50 km/h</t>
  </si>
  <si>
    <t>VOC+tiempo de viaje  60 km/h</t>
  </si>
  <si>
    <t>Total 50 km/h</t>
  </si>
  <si>
    <t>Total 60 km/h</t>
  </si>
  <si>
    <t>Beneficios exógenos</t>
  </si>
  <si>
    <t>Variación de Costos</t>
  </si>
  <si>
    <t>Alternativa I</t>
  </si>
  <si>
    <t>Variación de Beneficios</t>
  </si>
  <si>
    <t>ANÁLISIS DE SENSIBILIDAD - ALTERNATIVA BASE VS ALTERNATIVA II - PAV. HORMIGÓN</t>
  </si>
  <si>
    <t>Alternativa II</t>
  </si>
  <si>
    <t>ANÁLISIS DE SENSIBILIDAD -  ALTERNATIVA BASE VS ALTERNATIVA I - PAV ASFÁLTICO</t>
  </si>
  <si>
    <t>Política de mantenimiento - Ruta 9 Suburbano CON proyecto</t>
  </si>
  <si>
    <t>SIN proyecto</t>
  </si>
  <si>
    <t>Beneficio Exógeno</t>
  </si>
  <si>
    <t>Para TIR 10% y VAN=0</t>
  </si>
  <si>
    <t>Variación Costos</t>
  </si>
  <si>
    <t>Variación Beneficios</t>
  </si>
  <si>
    <t>Variación Combinada</t>
  </si>
  <si>
    <t>Cosotos aumentan 20%</t>
  </si>
  <si>
    <t>VAN</t>
  </si>
  <si>
    <t>Cosotos aumentan 10%</t>
  </si>
  <si>
    <t>Beneficios disminuyen 20%</t>
  </si>
  <si>
    <t>Beneficios disminuyen 10%</t>
  </si>
  <si>
    <t>Variación combinada 20%</t>
  </si>
  <si>
    <t>Variación combinada 10%</t>
  </si>
  <si>
    <t>Análisis de Riesgo (TIR 10% y VAN=0)</t>
  </si>
  <si>
    <t>Análisis Sensibilidad para 20%</t>
  </si>
  <si>
    <t>Análisis Sensibilidad para 10%</t>
  </si>
  <si>
    <t>IRI sin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</si>
</sst>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_-* #,##0.00\ [$€]_-;\-* #,##0.00\ [$€]_-;_-* &quot;-&quot;??\ [$€]_-;_-@_-"/>
    <numFmt numFmtId="166" formatCode="#,##0.0000"/>
    <numFmt numFmtId="167" formatCode="_-* #,##0.00\ _N_U_$_-;\-* #,##0.00\ _N_U_$_-;_-* &quot;-&quot;??\ _N_U_$_-;_-@_-"/>
    <numFmt numFmtId="168" formatCode="_(* #,##0.00000_);_(* \(#,##0.00000\);_(* &quot;-&quot;??_);_(@_)"/>
    <numFmt numFmtId="169" formatCode="_(* #,##0.0000_);_(* \(#,##0.0000\);_(* &quot;-&quot;??_);_(@_)"/>
    <numFmt numFmtId="170" formatCode="#,##0.00_);\-#,##0.00"/>
    <numFmt numFmtId="171" formatCode="#,##0.000_);\-#,##0.000"/>
    <numFmt numFmtId="172" formatCode="0.000"/>
    <numFmt numFmtId="173" formatCode="\ &quot;USD&quot;\ #,##0"/>
    <numFmt numFmtId="174" formatCode="0.0%"/>
    <numFmt numFmtId="175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Univers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MS Sans Serif"/>
      <family val="2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  <font>
      <sz val="9.9499999999999993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MS Sans Serif"/>
    </font>
  </fonts>
  <fills count="7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" fillId="0" borderId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0" fontId="21" fillId="0" borderId="0"/>
  </cellStyleXfs>
  <cellXfs count="307"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0" fillId="0" borderId="2" xfId="0" applyBorder="1"/>
    <xf numFmtId="0" fontId="8" fillId="0" borderId="2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2" xfId="2" applyFont="1" applyBorder="1"/>
    <xf numFmtId="0" fontId="12" fillId="0" borderId="2" xfId="2" applyFont="1" applyBorder="1"/>
    <xf numFmtId="4" fontId="10" fillId="0" borderId="2" xfId="2" applyNumberFormat="1" applyFont="1" applyBorder="1" applyAlignment="1">
      <alignment horizontal="right"/>
    </xf>
    <xf numFmtId="166" fontId="10" fillId="0" borderId="2" xfId="2" applyNumberFormat="1" applyFont="1" applyBorder="1"/>
    <xf numFmtId="3" fontId="10" fillId="0" borderId="2" xfId="2" applyNumberFormat="1" applyFont="1" applyBorder="1" applyAlignment="1">
      <alignment horizontal="right"/>
    </xf>
    <xf numFmtId="3" fontId="10" fillId="0" borderId="2" xfId="2" applyNumberFormat="1" applyFont="1" applyBorder="1"/>
    <xf numFmtId="0" fontId="0" fillId="0" borderId="0" xfId="0" applyAlignment="1">
      <alignment horizontal="center"/>
    </xf>
    <xf numFmtId="0" fontId="12" fillId="0" borderId="0" xfId="2" applyFont="1"/>
    <xf numFmtId="167" fontId="10" fillId="0" borderId="0" xfId="4" applyFont="1" applyAlignment="1">
      <alignment horizontal="center"/>
    </xf>
    <xf numFmtId="0" fontId="0" fillId="0" borderId="2" xfId="0" applyBorder="1" applyAlignment="1">
      <alignment horizontal="center"/>
    </xf>
    <xf numFmtId="3" fontId="10" fillId="2" borderId="2" xfId="0" applyNumberFormat="1" applyFont="1" applyFill="1" applyBorder="1"/>
    <xf numFmtId="164" fontId="10" fillId="0" borderId="0" xfId="1" applyFont="1" applyAlignment="1">
      <alignment horizontal="center"/>
    </xf>
    <xf numFmtId="168" fontId="10" fillId="0" borderId="0" xfId="2" applyNumberFormat="1" applyFont="1"/>
    <xf numFmtId="3" fontId="10" fillId="0" borderId="0" xfId="2" applyNumberFormat="1" applyFont="1"/>
    <xf numFmtId="4" fontId="10" fillId="0" borderId="2" xfId="2" applyNumberFormat="1" applyFont="1" applyBorder="1"/>
    <xf numFmtId="166" fontId="10" fillId="0" borderId="2" xfId="1" applyNumberFormat="1" applyFont="1" applyBorder="1"/>
    <xf numFmtId="37" fontId="10" fillId="0" borderId="2" xfId="2" applyNumberFormat="1" applyFont="1" applyBorder="1"/>
    <xf numFmtId="169" fontId="10" fillId="0" borderId="2" xfId="1" applyNumberFormat="1" applyFont="1" applyBorder="1"/>
    <xf numFmtId="37" fontId="10" fillId="0" borderId="0" xfId="2" applyNumberFormat="1" applyFont="1"/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2" xfId="2" applyFont="1" applyFill="1" applyBorder="1"/>
    <xf numFmtId="0" fontId="11" fillId="3" borderId="4" xfId="2" applyFont="1" applyFill="1" applyBorder="1" applyAlignment="1">
      <alignment horizontal="center"/>
    </xf>
    <xf numFmtId="0" fontId="6" fillId="0" borderId="1" xfId="5" applyBorder="1" applyAlignment="1">
      <alignment horizontal="center" vertical="center"/>
    </xf>
    <xf numFmtId="0" fontId="6" fillId="0" borderId="6" xfId="5" applyBorder="1" applyAlignment="1">
      <alignment horizontal="center" vertical="center"/>
    </xf>
    <xf numFmtId="0" fontId="6" fillId="0" borderId="7" xfId="5" applyBorder="1" applyAlignment="1">
      <alignment horizontal="center" vertical="center"/>
    </xf>
    <xf numFmtId="0" fontId="6" fillId="0" borderId="8" xfId="5" applyBorder="1" applyAlignment="1">
      <alignment horizontal="center" vertical="center"/>
    </xf>
    <xf numFmtId="49" fontId="6" fillId="0" borderId="7" xfId="5" applyNumberFormat="1" applyBorder="1" applyAlignment="1">
      <alignment horizontal="center" vertical="center"/>
    </xf>
    <xf numFmtId="2" fontId="0" fillId="0" borderId="2" xfId="0" applyNumberFormat="1" applyBorder="1"/>
    <xf numFmtId="2" fontId="0" fillId="0" borderId="10" xfId="0" applyNumberFormat="1" applyBorder="1"/>
    <xf numFmtId="0" fontId="0" fillId="0" borderId="9" xfId="0" applyBorder="1" applyAlignment="1">
      <alignment horizontal="center" vertical="center"/>
    </xf>
    <xf numFmtId="2" fontId="6" fillId="0" borderId="8" xfId="5" applyNumberFormat="1" applyBorder="1" applyAlignment="1">
      <alignment horizontal="center" vertical="center"/>
    </xf>
    <xf numFmtId="2" fontId="6" fillId="0" borderId="11" xfId="5" applyNumberFormat="1" applyBorder="1" applyAlignment="1">
      <alignment horizontal="center" vertical="center"/>
    </xf>
    <xf numFmtId="2" fontId="14" fillId="0" borderId="2" xfId="5" applyNumberFormat="1" applyFont="1" applyBorder="1" applyAlignment="1">
      <alignment horizontal="center" vertical="center"/>
    </xf>
    <xf numFmtId="0" fontId="0" fillId="4" borderId="7" xfId="0" applyFill="1" applyBorder="1"/>
    <xf numFmtId="2" fontId="0" fillId="4" borderId="2" xfId="0" applyNumberFormat="1" applyFill="1" applyBorder="1"/>
    <xf numFmtId="0" fontId="15" fillId="0" borderId="0" xfId="7"/>
    <xf numFmtId="2" fontId="14" fillId="4" borderId="2" xfId="5" applyNumberFormat="1" applyFont="1" applyFill="1" applyBorder="1" applyAlignment="1">
      <alignment horizontal="center" vertical="center"/>
    </xf>
    <xf numFmtId="0" fontId="0" fillId="5" borderId="7" xfId="0" applyFill="1" applyBorder="1"/>
    <xf numFmtId="0" fontId="14" fillId="5" borderId="2" xfId="5" applyFont="1" applyFill="1" applyBorder="1" applyAlignment="1">
      <alignment horizontal="center" vertical="center"/>
    </xf>
    <xf numFmtId="2" fontId="14" fillId="5" borderId="2" xfId="5" applyNumberFormat="1" applyFont="1" applyFill="1" applyBorder="1" applyAlignment="1">
      <alignment horizontal="center" vertical="center"/>
    </xf>
    <xf numFmtId="2" fontId="0" fillId="5" borderId="2" xfId="0" applyNumberFormat="1" applyFill="1" applyBorder="1"/>
    <xf numFmtId="0" fontId="8" fillId="5" borderId="2" xfId="5" applyFont="1" applyFill="1" applyBorder="1" applyAlignment="1">
      <alignment horizontal="center" vertical="center" wrapText="1"/>
    </xf>
    <xf numFmtId="2" fontId="14" fillId="5" borderId="2" xfId="5" applyNumberFormat="1" applyFont="1" applyFill="1" applyBorder="1" applyAlignment="1">
      <alignment horizontal="center" vertical="center" wrapText="1"/>
    </xf>
    <xf numFmtId="0" fontId="8" fillId="5" borderId="8" xfId="5" applyFont="1" applyFill="1" applyBorder="1" applyAlignment="1">
      <alignment horizontal="center" vertical="center" wrapText="1"/>
    </xf>
    <xf numFmtId="0" fontId="0" fillId="0" borderId="31" xfId="0" applyBorder="1"/>
    <xf numFmtId="0" fontId="8" fillId="0" borderId="32" xfId="5" applyFont="1" applyBorder="1" applyAlignment="1">
      <alignment horizontal="center" vertical="center" wrapText="1"/>
    </xf>
    <xf numFmtId="172" fontId="0" fillId="0" borderId="7" xfId="0" applyNumberFormat="1" applyBorder="1"/>
    <xf numFmtId="172" fontId="0" fillId="0" borderId="9" xfId="0" applyNumberFormat="1" applyBorder="1"/>
    <xf numFmtId="0" fontId="8" fillId="5" borderId="7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72" fontId="0" fillId="0" borderId="32" xfId="0" applyNumberFormat="1" applyBorder="1"/>
    <xf numFmtId="172" fontId="0" fillId="0" borderId="34" xfId="0" applyNumberFormat="1" applyBorder="1"/>
    <xf numFmtId="172" fontId="0" fillId="0" borderId="33" xfId="0" applyNumberFormat="1" applyBorder="1"/>
    <xf numFmtId="172" fontId="0" fillId="0" borderId="35" xfId="0" applyNumberFormat="1" applyBorder="1"/>
    <xf numFmtId="0" fontId="0" fillId="5" borderId="29" xfId="0" applyFill="1" applyBorder="1"/>
    <xf numFmtId="2" fontId="0" fillId="0" borderId="31" xfId="0" applyNumberFormat="1" applyBorder="1"/>
    <xf numFmtId="0" fontId="8" fillId="0" borderId="34" xfId="5" applyFont="1" applyBorder="1" applyAlignment="1">
      <alignment horizontal="center" vertical="center" wrapText="1"/>
    </xf>
    <xf numFmtId="0" fontId="14" fillId="4" borderId="7" xfId="5" applyFont="1" applyFill="1" applyBorder="1" applyAlignment="1">
      <alignment horizontal="right" vertical="center"/>
    </xf>
    <xf numFmtId="0" fontId="8" fillId="4" borderId="2" xfId="5" applyFont="1" applyFill="1" applyBorder="1" applyAlignment="1">
      <alignment horizontal="center" vertical="center"/>
    </xf>
    <xf numFmtId="0" fontId="8" fillId="4" borderId="2" xfId="5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6" xfId="5" applyBorder="1" applyAlignment="1">
      <alignment horizontal="right" vertical="center"/>
    </xf>
    <xf numFmtId="0" fontId="6" fillId="0" borderId="8" xfId="5" applyBorder="1" applyAlignment="1">
      <alignment horizontal="right" vertical="center"/>
    </xf>
    <xf numFmtId="2" fontId="6" fillId="0" borderId="8" xfId="5" applyNumberFormat="1" applyBorder="1" applyAlignment="1">
      <alignment horizontal="right" vertical="center"/>
    </xf>
    <xf numFmtId="2" fontId="6" fillId="0" borderId="11" xfId="5" applyNumberFormat="1" applyBorder="1" applyAlignment="1">
      <alignment horizontal="right" vertical="center"/>
    </xf>
    <xf numFmtId="0" fontId="0" fillId="0" borderId="31" xfId="0" applyBorder="1" applyAlignment="1">
      <alignment horizontal="right"/>
    </xf>
    <xf numFmtId="0" fontId="13" fillId="0" borderId="2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2" fillId="0" borderId="0" xfId="0" applyFont="1"/>
    <xf numFmtId="173" fontId="16" fillId="0" borderId="2" xfId="5" applyNumberFormat="1" applyFont="1" applyBorder="1" applyAlignment="1">
      <alignment horizontal="center" vertical="center"/>
    </xf>
    <xf numFmtId="0" fontId="6" fillId="0" borderId="9" xfId="5" applyBorder="1" applyAlignment="1">
      <alignment horizontal="center"/>
    </xf>
    <xf numFmtId="173" fontId="16" fillId="0" borderId="10" xfId="5" applyNumberFormat="1" applyFont="1" applyBorder="1" applyAlignment="1">
      <alignment horizontal="center" vertical="center"/>
    </xf>
    <xf numFmtId="0" fontId="16" fillId="0" borderId="10" xfId="5" applyFont="1" applyBorder="1" applyAlignment="1">
      <alignment horizontal="center"/>
    </xf>
    <xf numFmtId="173" fontId="16" fillId="0" borderId="11" xfId="5" applyNumberFormat="1" applyFont="1" applyBorder="1" applyAlignment="1">
      <alignment horizontal="center" vertical="center"/>
    </xf>
    <xf numFmtId="173" fontId="16" fillId="0" borderId="0" xfId="5" applyNumberFormat="1" applyFont="1" applyAlignment="1">
      <alignment horizontal="center" vertical="center"/>
    </xf>
    <xf numFmtId="173" fontId="0" fillId="0" borderId="2" xfId="0" applyNumberFormat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 wrapText="1"/>
    </xf>
    <xf numFmtId="0" fontId="8" fillId="3" borderId="7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3" fontId="16" fillId="0" borderId="8" xfId="5" applyNumberFormat="1" applyFont="1" applyBorder="1" applyAlignment="1">
      <alignment horizontal="center" vertical="center"/>
    </xf>
    <xf numFmtId="173" fontId="16" fillId="4" borderId="2" xfId="5" applyNumberFormat="1" applyFont="1" applyFill="1" applyBorder="1" applyAlignment="1">
      <alignment horizontal="center" vertical="center"/>
    </xf>
    <xf numFmtId="173" fontId="16" fillId="4" borderId="8" xfId="5" applyNumberFormat="1" applyFont="1" applyFill="1" applyBorder="1" applyAlignment="1">
      <alignment horizontal="center" vertical="center"/>
    </xf>
    <xf numFmtId="0" fontId="13" fillId="4" borderId="2" xfId="5" applyFont="1" applyFill="1" applyBorder="1" applyAlignment="1">
      <alignment horizontal="center" vertical="center"/>
    </xf>
    <xf numFmtId="0" fontId="13" fillId="4" borderId="2" xfId="5" applyFont="1" applyFill="1" applyBorder="1" applyAlignment="1">
      <alignment horizontal="center" vertical="center" wrapText="1"/>
    </xf>
    <xf numFmtId="172" fontId="0" fillId="0" borderId="7" xfId="0" applyNumberFormat="1" applyBorder="1" applyAlignment="1">
      <alignment horizontal="center" vertical="center"/>
    </xf>
    <xf numFmtId="172" fontId="0" fillId="0" borderId="32" xfId="0" applyNumberFormat="1" applyBorder="1" applyAlignment="1">
      <alignment horizontal="center" vertical="center"/>
    </xf>
    <xf numFmtId="172" fontId="0" fillId="0" borderId="34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center" vertical="center"/>
    </xf>
    <xf numFmtId="172" fontId="0" fillId="0" borderId="33" xfId="0" applyNumberFormat="1" applyBorder="1" applyAlignment="1">
      <alignment horizontal="center" vertical="center"/>
    </xf>
    <xf numFmtId="172" fontId="0" fillId="0" borderId="35" xfId="0" applyNumberFormat="1" applyBorder="1" applyAlignment="1">
      <alignment horizontal="center" vertical="center"/>
    </xf>
    <xf numFmtId="173" fontId="16" fillId="0" borderId="7" xfId="5" applyNumberFormat="1" applyFont="1" applyBorder="1" applyAlignment="1">
      <alignment horizontal="center" vertical="center"/>
    </xf>
    <xf numFmtId="173" fontId="16" fillId="0" borderId="9" xfId="5" applyNumberFormat="1" applyFont="1" applyBorder="1" applyAlignment="1">
      <alignment horizontal="center" vertical="center"/>
    </xf>
    <xf numFmtId="0" fontId="6" fillId="5" borderId="1" xfId="5" applyFill="1" applyBorder="1" applyAlignment="1">
      <alignment horizontal="center"/>
    </xf>
    <xf numFmtId="0" fontId="6" fillId="5" borderId="5" xfId="5" applyFill="1" applyBorder="1" applyAlignment="1">
      <alignment horizontal="center"/>
    </xf>
    <xf numFmtId="0" fontId="6" fillId="5" borderId="6" xfId="5" applyFill="1" applyBorder="1" applyAlignment="1">
      <alignment horizontal="center"/>
    </xf>
    <xf numFmtId="2" fontId="0" fillId="0" borderId="31" xfId="0" applyNumberFormat="1" applyBorder="1" applyAlignment="1">
      <alignment horizontal="right"/>
    </xf>
    <xf numFmtId="0" fontId="0" fillId="3" borderId="36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6" fillId="5" borderId="38" xfId="5" applyFill="1" applyBorder="1" applyAlignment="1">
      <alignment horizontal="center"/>
    </xf>
    <xf numFmtId="0" fontId="6" fillId="5" borderId="39" xfId="5" applyFill="1" applyBorder="1" applyAlignment="1">
      <alignment horizontal="center"/>
    </xf>
    <xf numFmtId="173" fontId="0" fillId="0" borderId="8" xfId="0" applyNumberFormat="1" applyBorder="1" applyAlignment="1">
      <alignment horizontal="center"/>
    </xf>
    <xf numFmtId="173" fontId="0" fillId="0" borderId="10" xfId="0" applyNumberFormat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73" fontId="0" fillId="0" borderId="22" xfId="0" applyNumberFormat="1" applyBorder="1" applyAlignment="1">
      <alignment horizontal="center" vertical="center"/>
    </xf>
    <xf numFmtId="173" fontId="0" fillId="0" borderId="23" xfId="0" applyNumberFormat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6" fillId="5" borderId="41" xfId="5" applyFill="1" applyBorder="1" applyAlignment="1">
      <alignment horizontal="center"/>
    </xf>
    <xf numFmtId="0" fontId="6" fillId="5" borderId="19" xfId="5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42" xfId="0" applyFill="1" applyBorder="1" applyAlignment="1">
      <alignment horizontal="center" vertical="center"/>
    </xf>
    <xf numFmtId="173" fontId="16" fillId="0" borderId="21" xfId="5" applyNumberFormat="1" applyFont="1" applyBorder="1" applyAlignment="1">
      <alignment horizontal="center" vertical="center"/>
    </xf>
    <xf numFmtId="0" fontId="0" fillId="5" borderId="43" xfId="0" applyFill="1" applyBorder="1"/>
    <xf numFmtId="9" fontId="0" fillId="0" borderId="44" xfId="0" applyNumberFormat="1" applyBorder="1"/>
    <xf numFmtId="173" fontId="16" fillId="0" borderId="36" xfId="5" applyNumberFormat="1" applyFont="1" applyBorder="1" applyAlignment="1">
      <alignment horizontal="center" vertical="center"/>
    </xf>
    <xf numFmtId="173" fontId="16" fillId="0" borderId="28" xfId="5" applyNumberFormat="1" applyFont="1" applyBorder="1" applyAlignment="1">
      <alignment horizontal="center" vertical="center"/>
    </xf>
    <xf numFmtId="173" fontId="0" fillId="0" borderId="29" xfId="0" applyNumberFormat="1" applyBorder="1" applyAlignment="1">
      <alignment horizontal="center" vertical="center"/>
    </xf>
    <xf numFmtId="173" fontId="0" fillId="0" borderId="30" xfId="0" applyNumberFormat="1" applyBorder="1" applyAlignment="1">
      <alignment horizontal="center" vertical="center"/>
    </xf>
    <xf numFmtId="173" fontId="0" fillId="0" borderId="31" xfId="0" applyNumberFormat="1" applyBorder="1" applyAlignment="1">
      <alignment horizontal="center" vertical="center"/>
    </xf>
    <xf numFmtId="0" fontId="14" fillId="0" borderId="41" xfId="5" applyFont="1" applyBorder="1" applyAlignment="1">
      <alignment horizontal="right" vertical="center"/>
    </xf>
    <xf numFmtId="0" fontId="0" fillId="0" borderId="41" xfId="0" applyBorder="1"/>
    <xf numFmtId="0" fontId="0" fillId="0" borderId="19" xfId="0" applyBorder="1"/>
    <xf numFmtId="0" fontId="8" fillId="3" borderId="36" xfId="5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 wrapText="1"/>
    </xf>
    <xf numFmtId="172" fontId="0" fillId="0" borderId="2" xfId="0" applyNumberFormat="1" applyBorder="1"/>
    <xf numFmtId="172" fontId="0" fillId="0" borderId="10" xfId="0" applyNumberFormat="1" applyBorder="1"/>
    <xf numFmtId="0" fontId="8" fillId="3" borderId="45" xfId="5" applyFont="1" applyFill="1" applyBorder="1" applyAlignment="1">
      <alignment horizontal="center" vertical="center" wrapText="1"/>
    </xf>
    <xf numFmtId="0" fontId="8" fillId="3" borderId="20" xfId="5" applyFont="1" applyFill="1" applyBorder="1" applyAlignment="1">
      <alignment horizontal="center" vertical="center"/>
    </xf>
    <xf numFmtId="173" fontId="16" fillId="0" borderId="38" xfId="5" applyNumberFormat="1" applyFont="1" applyBorder="1" applyAlignment="1">
      <alignment horizontal="center" vertical="center"/>
    </xf>
    <xf numFmtId="173" fontId="16" fillId="0" borderId="39" xfId="5" applyNumberFormat="1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173" fontId="0" fillId="0" borderId="38" xfId="0" applyNumberFormat="1" applyBorder="1" applyAlignment="1">
      <alignment horizontal="center"/>
    </xf>
    <xf numFmtId="173" fontId="0" fillId="0" borderId="39" xfId="0" applyNumberFormat="1" applyBorder="1" applyAlignment="1">
      <alignment horizontal="center"/>
    </xf>
    <xf numFmtId="0" fontId="8" fillId="3" borderId="16" xfId="5" applyFont="1" applyFill="1" applyBorder="1" applyAlignment="1">
      <alignment horizontal="center" vertical="center"/>
    </xf>
    <xf numFmtId="0" fontId="0" fillId="5" borderId="49" xfId="0" applyFill="1" applyBorder="1"/>
    <xf numFmtId="173" fontId="0" fillId="0" borderId="50" xfId="0" applyNumberFormat="1" applyBorder="1"/>
    <xf numFmtId="173" fontId="16" fillId="0" borderId="1" xfId="5" applyNumberFormat="1" applyFont="1" applyBorder="1" applyAlignment="1">
      <alignment horizontal="center" vertical="center"/>
    </xf>
    <xf numFmtId="17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73" fontId="0" fillId="0" borderId="6" xfId="0" applyNumberFormat="1" applyBorder="1" applyAlignment="1">
      <alignment horizontal="center"/>
    </xf>
    <xf numFmtId="173" fontId="0" fillId="0" borderId="51" xfId="0" applyNumberFormat="1" applyBorder="1" applyAlignment="1">
      <alignment horizontal="center" vertical="center"/>
    </xf>
    <xf numFmtId="173" fontId="0" fillId="0" borderId="11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173" fontId="16" fillId="0" borderId="3" xfId="5" applyNumberFormat="1" applyFont="1" applyBorder="1" applyAlignment="1">
      <alignment horizontal="center" vertical="center"/>
    </xf>
    <xf numFmtId="173" fontId="16" fillId="0" borderId="47" xfId="5" applyNumberFormat="1" applyFont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73" fontId="0" fillId="0" borderId="26" xfId="0" applyNumberFormat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9" fontId="0" fillId="0" borderId="27" xfId="8" applyFont="1" applyBorder="1"/>
    <xf numFmtId="9" fontId="0" fillId="0" borderId="26" xfId="8" applyFont="1" applyBorder="1"/>
    <xf numFmtId="9" fontId="0" fillId="0" borderId="56" xfId="8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6" xfId="0" applyBorder="1" applyAlignment="1">
      <alignment horizontal="center"/>
    </xf>
    <xf numFmtId="0" fontId="18" fillId="0" borderId="0" xfId="6" applyFont="1" applyAlignment="1">
      <alignment horizontal="right" vertical="center"/>
    </xf>
    <xf numFmtId="0" fontId="18" fillId="0" borderId="0" xfId="6" applyFont="1" applyAlignment="1">
      <alignment vertical="center"/>
    </xf>
    <xf numFmtId="0" fontId="19" fillId="0" borderId="0" xfId="6" applyFont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8" fillId="3" borderId="11" xfId="7" applyFont="1" applyFill="1" applyBorder="1" applyAlignment="1">
      <alignment horizontal="center" vertical="center"/>
    </xf>
    <xf numFmtId="2" fontId="19" fillId="0" borderId="20" xfId="7" applyNumberFormat="1" applyFont="1" applyBorder="1" applyAlignment="1">
      <alignment horizontal="center"/>
    </xf>
    <xf numFmtId="170" fontId="18" fillId="0" borderId="21" xfId="7" applyNumberFormat="1" applyFont="1" applyBorder="1" applyAlignment="1">
      <alignment horizontal="center" vertical="center"/>
    </xf>
    <xf numFmtId="171" fontId="18" fillId="0" borderId="22" xfId="7" applyNumberFormat="1" applyFont="1" applyBorder="1" applyAlignment="1">
      <alignment horizontal="center" vertical="center"/>
    </xf>
    <xf numFmtId="171" fontId="18" fillId="0" borderId="23" xfId="7" applyNumberFormat="1" applyFont="1" applyBorder="1" applyAlignment="1">
      <alignment horizontal="center" vertical="center"/>
    </xf>
    <xf numFmtId="2" fontId="19" fillId="0" borderId="24" xfId="7" applyNumberFormat="1" applyFont="1" applyBorder="1" applyAlignment="1">
      <alignment horizontal="center"/>
    </xf>
    <xf numFmtId="2" fontId="19" fillId="0" borderId="0" xfId="6" applyNumberFormat="1" applyFont="1"/>
    <xf numFmtId="0" fontId="1" fillId="5" borderId="20" xfId="0" applyFont="1" applyFill="1" applyBorder="1" applyAlignment="1">
      <alignment horizontal="center"/>
    </xf>
    <xf numFmtId="170" fontId="19" fillId="0" borderId="38" xfId="6" applyNumberFormat="1" applyFont="1" applyBorder="1"/>
    <xf numFmtId="170" fontId="19" fillId="0" borderId="39" xfId="6" applyNumberFormat="1" applyFont="1" applyBorder="1"/>
    <xf numFmtId="2" fontId="19" fillId="0" borderId="25" xfId="7" applyNumberFormat="1" applyFont="1" applyBorder="1" applyAlignment="1">
      <alignment horizontal="center"/>
    </xf>
    <xf numFmtId="170" fontId="18" fillId="0" borderId="27" xfId="7" applyNumberFormat="1" applyFont="1" applyBorder="1" applyAlignment="1">
      <alignment horizontal="center" vertical="center"/>
    </xf>
    <xf numFmtId="171" fontId="18" fillId="0" borderId="51" xfId="7" applyNumberFormat="1" applyFont="1" applyBorder="1" applyAlignment="1">
      <alignment horizontal="center" vertical="center"/>
    </xf>
    <xf numFmtId="171" fontId="18" fillId="0" borderId="26" xfId="7" applyNumberFormat="1" applyFont="1" applyBorder="1" applyAlignment="1">
      <alignment horizontal="center" vertical="center"/>
    </xf>
    <xf numFmtId="0" fontId="19" fillId="0" borderId="0" xfId="7" applyFont="1"/>
    <xf numFmtId="0" fontId="8" fillId="3" borderId="5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0" borderId="3" xfId="5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2" fontId="14" fillId="0" borderId="7" xfId="5" applyNumberFormat="1" applyFont="1" applyBorder="1" applyAlignment="1">
      <alignment horizontal="right" vertical="center"/>
    </xf>
    <xf numFmtId="2" fontId="0" fillId="0" borderId="7" xfId="0" applyNumberFormat="1" applyBorder="1"/>
    <xf numFmtId="172" fontId="0" fillId="0" borderId="8" xfId="0" applyNumberFormat="1" applyBorder="1"/>
    <xf numFmtId="2" fontId="0" fillId="0" borderId="9" xfId="0" applyNumberFormat="1" applyBorder="1"/>
    <xf numFmtId="172" fontId="0" fillId="0" borderId="11" xfId="0" applyNumberFormat="1" applyBorder="1"/>
    <xf numFmtId="2" fontId="0" fillId="0" borderId="0" xfId="0" applyNumberFormat="1"/>
    <xf numFmtId="173" fontId="16" fillId="0" borderId="34" xfId="5" applyNumberFormat="1" applyFont="1" applyBorder="1" applyAlignment="1">
      <alignment horizontal="center" vertical="center"/>
    </xf>
    <xf numFmtId="173" fontId="16" fillId="0" borderId="35" xfId="5" applyNumberFormat="1" applyFont="1" applyBorder="1" applyAlignment="1">
      <alignment horizontal="center" vertical="center"/>
    </xf>
    <xf numFmtId="0" fontId="2" fillId="3" borderId="20" xfId="0" applyFont="1" applyFill="1" applyBorder="1"/>
    <xf numFmtId="0" fontId="8" fillId="3" borderId="38" xfId="5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4" borderId="9" xfId="0" applyFill="1" applyBorder="1"/>
    <xf numFmtId="2" fontId="14" fillId="4" borderId="10" xfId="5" applyNumberFormat="1" applyFont="1" applyFill="1" applyBorder="1" applyAlignment="1">
      <alignment horizontal="center" vertical="center"/>
    </xf>
    <xf numFmtId="2" fontId="0" fillId="4" borderId="10" xfId="0" applyNumberFormat="1" applyFill="1" applyBorder="1"/>
    <xf numFmtId="173" fontId="16" fillId="4" borderId="10" xfId="5" applyNumberFormat="1" applyFont="1" applyFill="1" applyBorder="1" applyAlignment="1">
      <alignment horizontal="center" vertical="center"/>
    </xf>
    <xf numFmtId="0" fontId="0" fillId="4" borderId="11" xfId="0" applyFill="1" applyBorder="1"/>
    <xf numFmtId="9" fontId="0" fillId="0" borderId="8" xfId="0" applyNumberFormat="1" applyBorder="1"/>
    <xf numFmtId="9" fontId="0" fillId="0" borderId="11" xfId="0" applyNumberFormat="1" applyBorder="1"/>
    <xf numFmtId="173" fontId="0" fillId="0" borderId="8" xfId="0" applyNumberFormat="1" applyBorder="1"/>
    <xf numFmtId="9" fontId="0" fillId="0" borderId="11" xfId="8" applyFont="1" applyBorder="1"/>
    <xf numFmtId="0" fontId="0" fillId="4" borderId="1" xfId="0" applyFill="1" applyBorder="1"/>
    <xf numFmtId="9" fontId="0" fillId="0" borderId="6" xfId="0" applyNumberFormat="1" applyBorder="1"/>
    <xf numFmtId="10" fontId="0" fillId="0" borderId="26" xfId="8" applyNumberFormat="1" applyFont="1" applyBorder="1"/>
    <xf numFmtId="10" fontId="0" fillId="0" borderId="56" xfId="8" applyNumberFormat="1" applyFont="1" applyBorder="1"/>
    <xf numFmtId="174" fontId="0" fillId="0" borderId="11" xfId="0" applyNumberFormat="1" applyBorder="1"/>
    <xf numFmtId="2" fontId="0" fillId="0" borderId="38" xfId="0" applyNumberFormat="1" applyBorder="1" applyAlignment="1">
      <alignment horizontal="center" vertical="center"/>
    </xf>
    <xf numFmtId="175" fontId="0" fillId="0" borderId="2" xfId="0" applyNumberFormat="1" applyBorder="1" applyAlignment="1">
      <alignment horizontal="center"/>
    </xf>
    <xf numFmtId="175" fontId="0" fillId="0" borderId="1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5" applyFont="1" applyAlignment="1">
      <alignment horizontal="center" vertical="center"/>
    </xf>
    <xf numFmtId="172" fontId="0" fillId="0" borderId="0" xfId="0" applyNumberFormat="1"/>
    <xf numFmtId="173" fontId="0" fillId="0" borderId="0" xfId="0" applyNumberFormat="1"/>
    <xf numFmtId="2" fontId="0" fillId="4" borderId="2" xfId="0" applyNumberFormat="1" applyFill="1" applyBorder="1" applyAlignment="1">
      <alignment horizontal="center"/>
    </xf>
    <xf numFmtId="175" fontId="0" fillId="4" borderId="2" xfId="0" applyNumberFormat="1" applyFill="1" applyBorder="1" applyAlignment="1">
      <alignment horizontal="center"/>
    </xf>
    <xf numFmtId="173" fontId="16" fillId="4" borderId="38" xfId="5" applyNumberFormat="1" applyFont="1" applyFill="1" applyBorder="1" applyAlignment="1">
      <alignment horizontal="center" vertical="center"/>
    </xf>
    <xf numFmtId="173" fontId="16" fillId="4" borderId="39" xfId="5" applyNumberFormat="1" applyFont="1" applyFill="1" applyBorder="1" applyAlignment="1">
      <alignment horizontal="center" vertical="center"/>
    </xf>
    <xf numFmtId="2" fontId="0" fillId="4" borderId="38" xfId="0" applyNumberFormat="1" applyFill="1" applyBorder="1" applyAlignment="1">
      <alignment horizontal="center" vertical="center"/>
    </xf>
    <xf numFmtId="2" fontId="0" fillId="4" borderId="39" xfId="0" applyNumberFormat="1" applyFill="1" applyBorder="1" applyAlignment="1">
      <alignment horizontal="center" vertical="center"/>
    </xf>
    <xf numFmtId="173" fontId="0" fillId="0" borderId="0" xfId="0" applyNumberFormat="1" applyAlignment="1">
      <alignment horizontal="center"/>
    </xf>
    <xf numFmtId="174" fontId="0" fillId="0" borderId="6" xfId="0" applyNumberFormat="1" applyBorder="1"/>
    <xf numFmtId="174" fontId="0" fillId="0" borderId="8" xfId="0" applyNumberFormat="1" applyBorder="1"/>
    <xf numFmtId="0" fontId="9" fillId="3" borderId="0" xfId="2" applyFont="1" applyFill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11" fillId="3" borderId="2" xfId="2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 wrapText="1"/>
    </xf>
    <xf numFmtId="0" fontId="2" fillId="3" borderId="0" xfId="0" applyFont="1" applyFill="1" applyAlignment="1">
      <alignment horizontal="center"/>
    </xf>
    <xf numFmtId="0" fontId="13" fillId="5" borderId="12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7" fillId="3" borderId="0" xfId="5" applyFont="1" applyFill="1" applyAlignment="1">
      <alignment horizontal="center" vertical="center"/>
    </xf>
    <xf numFmtId="0" fontId="8" fillId="3" borderId="1" xfId="5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5" xfId="5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/>
    </xf>
    <xf numFmtId="0" fontId="13" fillId="3" borderId="29" xfId="5" applyFont="1" applyFill="1" applyBorder="1" applyAlignment="1">
      <alignment horizontal="center"/>
    </xf>
    <xf numFmtId="0" fontId="13" fillId="3" borderId="30" xfId="5" applyFont="1" applyFill="1" applyBorder="1" applyAlignment="1">
      <alignment horizontal="center"/>
    </xf>
    <xf numFmtId="0" fontId="13" fillId="3" borderId="31" xfId="5" applyFont="1" applyFill="1" applyBorder="1" applyAlignment="1">
      <alignment horizontal="center"/>
    </xf>
    <xf numFmtId="0" fontId="13" fillId="3" borderId="14" xfId="5" applyFont="1" applyFill="1" applyBorder="1" applyAlignment="1">
      <alignment horizontal="center"/>
    </xf>
    <xf numFmtId="0" fontId="13" fillId="3" borderId="37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8" fillId="3" borderId="57" xfId="5" applyFont="1" applyFill="1" applyBorder="1" applyAlignment="1">
      <alignment horizontal="center" vertical="center"/>
    </xf>
    <xf numFmtId="0" fontId="8" fillId="3" borderId="58" xfId="5" applyFont="1" applyFill="1" applyBorder="1" applyAlignment="1">
      <alignment horizontal="center" vertical="center"/>
    </xf>
    <xf numFmtId="0" fontId="8" fillId="3" borderId="59" xfId="5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20" fillId="3" borderId="0" xfId="7" applyFont="1" applyFill="1" applyAlignment="1">
      <alignment horizontal="center"/>
    </xf>
    <xf numFmtId="0" fontId="19" fillId="3" borderId="48" xfId="7" applyFont="1" applyFill="1" applyBorder="1" applyAlignment="1">
      <alignment horizontal="center" vertical="center"/>
    </xf>
    <xf numFmtId="0" fontId="19" fillId="3" borderId="25" xfId="7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2" fillId="6" borderId="61" xfId="0" applyFont="1" applyFill="1" applyBorder="1" applyAlignment="1">
      <alignment horizontal="center"/>
    </xf>
  </cellXfs>
  <cellStyles count="10">
    <cellStyle name="Euro" xfId="3"/>
    <cellStyle name="Millares" xfId="1" builtinId="3"/>
    <cellStyle name="Millares_ARCHIVO FINAL COSTOS-SIPLA actualizado Nov 04" xfId="4"/>
    <cellStyle name="Normal" xfId="0" builtinId="0"/>
    <cellStyle name="Normal 2" xfId="7"/>
    <cellStyle name="Normal 3" xfId="5"/>
    <cellStyle name="Normal 4" xfId="6"/>
    <cellStyle name="Normal 5" xfId="9"/>
    <cellStyle name="Normal_ARCHIVO FINAL COSTOS-SIPLA actualizado Nov 04" xfId="2"/>
    <cellStyle name="Porcentaje" xfId="8" builtinId="5"/>
  </cellStyles>
  <dxfs count="0"/>
  <tableStyles count="0" defaultTableStyle="TableStyleMedium2" defaultPivotStyle="PivotStyleLight16"/>
  <colors>
    <mruColors>
      <color rgb="FFF2B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/>
              <a:t>Evolución</a:t>
            </a:r>
            <a:r>
              <a:rPr lang="es-UY" baseline="0"/>
              <a:t> de IRI y costo de obra </a:t>
            </a:r>
            <a:endParaRPr lang="es-UY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Costos de Obra 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'Alternativa Base'!$B$9:$B$28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'Alternativa Base'!$C$9:$C$28</c:f>
              <c:numCache>
                <c:formatCode>0.00</c:formatCode>
                <c:ptCount val="20"/>
                <c:pt idx="0">
                  <c:v>11535.720144223615</c:v>
                </c:pt>
                <c:pt idx="1">
                  <c:v>11535.720144223615</c:v>
                </c:pt>
                <c:pt idx="2">
                  <c:v>11535.720144223615</c:v>
                </c:pt>
                <c:pt idx="3">
                  <c:v>360976.54683488567</c:v>
                </c:pt>
                <c:pt idx="4">
                  <c:v>11535.720144223615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360976.54683488567</c:v>
                </c:pt>
                <c:pt idx="10">
                  <c:v>11535.720144223615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11535.720144223615</c:v>
                </c:pt>
                <c:pt idx="14">
                  <c:v>360976.54683488567</c:v>
                </c:pt>
                <c:pt idx="15">
                  <c:v>11535.720144223615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360976.54683488567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27-4CBC-BCEC-C6EEC98C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73976"/>
        <c:axId val="444818848"/>
      </c:scatterChart>
      <c:scatterChart>
        <c:scatterStyle val="lineMarker"/>
        <c:varyColors val="0"/>
        <c:ser>
          <c:idx val="0"/>
          <c:order val="0"/>
          <c:tx>
            <c:v>Evolución IRI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'Alternativa I'!$B$7:$B$26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'Alternativa Base'!$D$9:$D$28</c:f>
              <c:numCache>
                <c:formatCode>0.00</c:formatCode>
                <c:ptCount val="20"/>
                <c:pt idx="0">
                  <c:v>2.73</c:v>
                </c:pt>
                <c:pt idx="1">
                  <c:v>2.98</c:v>
                </c:pt>
                <c:pt idx="2">
                  <c:v>3.23</c:v>
                </c:pt>
                <c:pt idx="3">
                  <c:v>2</c:v>
                </c:pt>
                <c:pt idx="4">
                  <c:v>2.25</c:v>
                </c:pt>
                <c:pt idx="5">
                  <c:v>2.5</c:v>
                </c:pt>
                <c:pt idx="6">
                  <c:v>2.75</c:v>
                </c:pt>
                <c:pt idx="7">
                  <c:v>3</c:v>
                </c:pt>
                <c:pt idx="8">
                  <c:v>3.35</c:v>
                </c:pt>
                <c:pt idx="9">
                  <c:v>2.2000000000000002</c:v>
                </c:pt>
                <c:pt idx="10">
                  <c:v>2.4500000000000002</c:v>
                </c:pt>
                <c:pt idx="11">
                  <c:v>2.7</c:v>
                </c:pt>
                <c:pt idx="12">
                  <c:v>2.95</c:v>
                </c:pt>
                <c:pt idx="13">
                  <c:v>3.2</c:v>
                </c:pt>
                <c:pt idx="14">
                  <c:v>2.2000000000000002</c:v>
                </c:pt>
                <c:pt idx="15">
                  <c:v>2.4500000000000002</c:v>
                </c:pt>
                <c:pt idx="16">
                  <c:v>2.7</c:v>
                </c:pt>
                <c:pt idx="17">
                  <c:v>2.95</c:v>
                </c:pt>
                <c:pt idx="18">
                  <c:v>3.2</c:v>
                </c:pt>
                <c:pt idx="19">
                  <c:v>2.2000000000000002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27-4CBC-BCEC-C6EEC98C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707280"/>
        <c:axId val="444819632"/>
      </c:scatterChart>
      <c:valAx>
        <c:axId val="435773976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050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444818848"/>
        <c:crosses val="autoZero"/>
        <c:crossBetween val="midCat"/>
        <c:majorUnit val="1"/>
      </c:valAx>
      <c:valAx>
        <c:axId val="44481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Costos</a:t>
                </a:r>
                <a:r>
                  <a:rPr lang="es-UY" sz="1100" baseline="0"/>
                  <a:t> </a:t>
                </a:r>
                <a:endParaRPr lang="es-UY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435773976"/>
        <c:crosses val="autoZero"/>
        <c:crossBetween val="midCat"/>
      </c:valAx>
      <c:valAx>
        <c:axId val="444819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IRI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437707280"/>
        <c:crosses val="max"/>
        <c:crossBetween val="midCat"/>
      </c:valAx>
      <c:valAx>
        <c:axId val="43770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819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/>
              <a:t>Evolución</a:t>
            </a:r>
            <a:r>
              <a:rPr lang="es-UY" baseline="0"/>
              <a:t> de IRI y costo de obra </a:t>
            </a:r>
            <a:endParaRPr lang="es-UY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Costos de Obra </c:v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'Alternativa I'!$B$6:$B$26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'Alternativa I'!$C$6:$C$26</c:f>
              <c:numCache>
                <c:formatCode>\ "USD"\ #,##0</c:formatCode>
                <c:ptCount val="21"/>
                <c:pt idx="0">
                  <c:v>2457562.2924709879</c:v>
                </c:pt>
                <c:pt idx="1">
                  <c:v>15978.181907200516</c:v>
                </c:pt>
                <c:pt idx="2">
                  <c:v>15978.181907200516</c:v>
                </c:pt>
                <c:pt idx="3">
                  <c:v>15978.181907200516</c:v>
                </c:pt>
                <c:pt idx="4">
                  <c:v>15978.181907200516</c:v>
                </c:pt>
                <c:pt idx="5">
                  <c:v>15978.181907200516</c:v>
                </c:pt>
                <c:pt idx="6">
                  <c:v>15978.181907200516</c:v>
                </c:pt>
                <c:pt idx="7">
                  <c:v>15978.181907200516</c:v>
                </c:pt>
                <c:pt idx="8">
                  <c:v>15978.181907200516</c:v>
                </c:pt>
                <c:pt idx="9">
                  <c:v>15978.181907200516</c:v>
                </c:pt>
                <c:pt idx="10">
                  <c:v>15978.181907200516</c:v>
                </c:pt>
                <c:pt idx="11">
                  <c:v>412748.42930907337</c:v>
                </c:pt>
                <c:pt idx="12">
                  <c:v>15978.181907200516</c:v>
                </c:pt>
                <c:pt idx="13">
                  <c:v>15978.181907200516</c:v>
                </c:pt>
                <c:pt idx="14">
                  <c:v>15978.181907200516</c:v>
                </c:pt>
                <c:pt idx="15">
                  <c:v>15978.181907200516</c:v>
                </c:pt>
                <c:pt idx="16">
                  <c:v>15978.181907200516</c:v>
                </c:pt>
                <c:pt idx="17">
                  <c:v>15978.181907200516</c:v>
                </c:pt>
                <c:pt idx="18">
                  <c:v>412748.42930907337</c:v>
                </c:pt>
                <c:pt idx="19">
                  <c:v>15978.181907200516</c:v>
                </c:pt>
                <c:pt idx="20">
                  <c:v>15978.181907200516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07-4F2C-B172-7189DFE5B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824304"/>
        <c:axId val="437734672"/>
      </c:scatterChart>
      <c:scatterChart>
        <c:scatterStyle val="lineMarker"/>
        <c:varyColors val="0"/>
        <c:ser>
          <c:idx val="0"/>
          <c:order val="0"/>
          <c:tx>
            <c:v>Evolución IRI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'Alternativa I'!$B$7:$B$26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'Alternativa I'!$D$7:$D$26</c:f>
              <c:numCache>
                <c:formatCode>0.00</c:formatCode>
                <c:ptCount val="20"/>
                <c:pt idx="0">
                  <c:v>1.6</c:v>
                </c:pt>
                <c:pt idx="1">
                  <c:v>1.75</c:v>
                </c:pt>
                <c:pt idx="2">
                  <c:v>1.9</c:v>
                </c:pt>
                <c:pt idx="3">
                  <c:v>2.0499999999999998</c:v>
                </c:pt>
                <c:pt idx="4">
                  <c:v>2.1999999999999997</c:v>
                </c:pt>
                <c:pt idx="5">
                  <c:v>2.3499999999999996</c:v>
                </c:pt>
                <c:pt idx="6">
                  <c:v>2.4999999999999996</c:v>
                </c:pt>
                <c:pt idx="7">
                  <c:v>2.6499999999999995</c:v>
                </c:pt>
                <c:pt idx="8">
                  <c:v>2.7999999999999994</c:v>
                </c:pt>
                <c:pt idx="9">
                  <c:v>2.9499999999999993</c:v>
                </c:pt>
                <c:pt idx="10">
                  <c:v>2</c:v>
                </c:pt>
                <c:pt idx="11">
                  <c:v>2.15</c:v>
                </c:pt>
                <c:pt idx="12">
                  <c:v>2.2999999999999998</c:v>
                </c:pt>
                <c:pt idx="13">
                  <c:v>2.4499999999999997</c:v>
                </c:pt>
                <c:pt idx="14">
                  <c:v>2.5999999999999996</c:v>
                </c:pt>
                <c:pt idx="15">
                  <c:v>2.7499999999999996</c:v>
                </c:pt>
                <c:pt idx="16">
                  <c:v>2.8999999999999995</c:v>
                </c:pt>
                <c:pt idx="17">
                  <c:v>2.2000000000000002</c:v>
                </c:pt>
                <c:pt idx="18">
                  <c:v>2.35</c:v>
                </c:pt>
                <c:pt idx="19">
                  <c:v>2.5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07-4F2C-B172-7189DFE5B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7296"/>
        <c:axId val="373617224"/>
      </c:scatterChart>
      <c:valAx>
        <c:axId val="444824304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437734672"/>
        <c:crosses val="autoZero"/>
        <c:crossBetween val="midCat"/>
        <c:majorUnit val="1"/>
      </c:valAx>
      <c:valAx>
        <c:axId val="43773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Costos</a:t>
                </a:r>
                <a:r>
                  <a:rPr lang="es-UY" sz="1100" baseline="0"/>
                  <a:t> </a:t>
                </a:r>
                <a:endParaRPr lang="es-UY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444824304"/>
        <c:crosses val="autoZero"/>
        <c:crossBetween val="midCat"/>
      </c:valAx>
      <c:valAx>
        <c:axId val="3736172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IRI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7296"/>
        <c:crosses val="max"/>
        <c:crossBetween val="midCat"/>
      </c:valAx>
      <c:valAx>
        <c:axId val="55534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3617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/>
              <a:t>Evolución</a:t>
            </a:r>
            <a:r>
              <a:rPr lang="es-UY" baseline="0"/>
              <a:t> de IRI y costo de obra</a:t>
            </a:r>
            <a:endParaRPr lang="es-UY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Costos de Obra </c:v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'Alternativa II'!$B$6:$B$26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'Alternativa II'!$C$6:$C$26</c:f>
              <c:numCache>
                <c:formatCode>\ "USD"\ #,##0</c:formatCode>
                <c:ptCount val="21"/>
                <c:pt idx="0">
                  <c:v>2567416.8460774082</c:v>
                </c:pt>
                <c:pt idx="1">
                  <c:v>22550.04250534689</c:v>
                </c:pt>
                <c:pt idx="2">
                  <c:v>22550.04250534689</c:v>
                </c:pt>
                <c:pt idx="3">
                  <c:v>22550.04250534689</c:v>
                </c:pt>
                <c:pt idx="4">
                  <c:v>22550.04250534689</c:v>
                </c:pt>
                <c:pt idx="5">
                  <c:v>22550.04250534689</c:v>
                </c:pt>
                <c:pt idx="6">
                  <c:v>22550.04250534689</c:v>
                </c:pt>
                <c:pt idx="7">
                  <c:v>22550.04250534689</c:v>
                </c:pt>
                <c:pt idx="8">
                  <c:v>22550.04250534689</c:v>
                </c:pt>
                <c:pt idx="9">
                  <c:v>22550.04250534689</c:v>
                </c:pt>
                <c:pt idx="10">
                  <c:v>235350.68980739036</c:v>
                </c:pt>
                <c:pt idx="11">
                  <c:v>22550.04250534689</c:v>
                </c:pt>
                <c:pt idx="12">
                  <c:v>22550.04250534689</c:v>
                </c:pt>
                <c:pt idx="13">
                  <c:v>22550.04250534689</c:v>
                </c:pt>
                <c:pt idx="14">
                  <c:v>22550.04250534689</c:v>
                </c:pt>
                <c:pt idx="15">
                  <c:v>22550.04250534689</c:v>
                </c:pt>
                <c:pt idx="16">
                  <c:v>22550.04250534689</c:v>
                </c:pt>
                <c:pt idx="17">
                  <c:v>22550.04250534689</c:v>
                </c:pt>
                <c:pt idx="18">
                  <c:v>22550.04250534689</c:v>
                </c:pt>
                <c:pt idx="19">
                  <c:v>22550.04250534689</c:v>
                </c:pt>
                <c:pt idx="20">
                  <c:v>22550.04250534689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76-4A04-86DB-E1B58835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38672"/>
        <c:axId val="555339456"/>
      </c:scatterChart>
      <c:scatterChart>
        <c:scatterStyle val="lineMarker"/>
        <c:varyColors val="0"/>
        <c:ser>
          <c:idx val="0"/>
          <c:order val="0"/>
          <c:tx>
            <c:v>Evolución IRI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'Alternativa II'!$B$7:$B$26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'Alternativa II'!$D$7:$D$26</c:f>
              <c:numCache>
                <c:formatCode>0.00</c:formatCode>
                <c:ptCount val="20"/>
                <c:pt idx="0" formatCode="General">
                  <c:v>2.2999999999999998</c:v>
                </c:pt>
                <c:pt idx="1">
                  <c:v>2.4499999999999997</c:v>
                </c:pt>
                <c:pt idx="2">
                  <c:v>2.5999999999999996</c:v>
                </c:pt>
                <c:pt idx="3">
                  <c:v>2.7499999999999996</c:v>
                </c:pt>
                <c:pt idx="4">
                  <c:v>2.8999999999999995</c:v>
                </c:pt>
                <c:pt idx="5">
                  <c:v>3.0499999999999994</c:v>
                </c:pt>
                <c:pt idx="6">
                  <c:v>3.2999999999999994</c:v>
                </c:pt>
                <c:pt idx="7">
                  <c:v>3.5499999999999994</c:v>
                </c:pt>
                <c:pt idx="8">
                  <c:v>3.7999999999999994</c:v>
                </c:pt>
                <c:pt idx="9">
                  <c:v>2</c:v>
                </c:pt>
                <c:pt idx="10">
                  <c:v>2.15</c:v>
                </c:pt>
                <c:pt idx="11">
                  <c:v>2.2999999999999998</c:v>
                </c:pt>
                <c:pt idx="12">
                  <c:v>2.4499999999999997</c:v>
                </c:pt>
                <c:pt idx="13">
                  <c:v>2.5999999999999996</c:v>
                </c:pt>
                <c:pt idx="14">
                  <c:v>2.7499999999999996</c:v>
                </c:pt>
                <c:pt idx="15">
                  <c:v>2.8999999999999995</c:v>
                </c:pt>
                <c:pt idx="16">
                  <c:v>3.0499999999999994</c:v>
                </c:pt>
                <c:pt idx="17">
                  <c:v>3.2999999999999994</c:v>
                </c:pt>
                <c:pt idx="18">
                  <c:v>3.5499999999999994</c:v>
                </c:pt>
                <c:pt idx="19">
                  <c:v>3.7999999999999994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76-4A04-86DB-E1B58835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8080"/>
        <c:axId val="555344552"/>
      </c:scatterChart>
      <c:valAx>
        <c:axId val="555338672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39456"/>
        <c:crosses val="autoZero"/>
        <c:crossBetween val="midCat"/>
        <c:majorUnit val="1"/>
      </c:valAx>
      <c:valAx>
        <c:axId val="5553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Costos</a:t>
                </a:r>
                <a:r>
                  <a:rPr lang="es-UY" sz="1100" baseline="0"/>
                  <a:t> </a:t>
                </a:r>
                <a:endParaRPr lang="es-UY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38672"/>
        <c:crosses val="autoZero"/>
        <c:crossBetween val="midCat"/>
      </c:valAx>
      <c:valAx>
        <c:axId val="555344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IRI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8080"/>
        <c:crosses val="max"/>
        <c:crossBetween val="midCat"/>
      </c:valAx>
      <c:valAx>
        <c:axId val="55534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4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Beneficios Exógenos - Costos de obra y de operación vehicular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0.14740996552260235"/>
          <c:y val="0.11829467262538129"/>
          <c:w val="0.81296514764922667"/>
          <c:h val="0.65235793310646295"/>
        </c:manualLayout>
      </c:layout>
      <c:scatterChart>
        <c:scatterStyle val="lineMarker"/>
        <c:varyColors val="0"/>
        <c:ser>
          <c:idx val="0"/>
          <c:order val="0"/>
          <c:tx>
            <c:v>Costos con proyecto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exógenos'!$C$32:$C$51</c:f>
              <c:numCache>
                <c:formatCode>\ "USD"\ #,##0</c:formatCode>
                <c:ptCount val="20"/>
                <c:pt idx="0">
                  <c:v>11535.720144223615</c:v>
                </c:pt>
                <c:pt idx="1">
                  <c:v>11535.720144223615</c:v>
                </c:pt>
                <c:pt idx="2">
                  <c:v>11535.720144223615</c:v>
                </c:pt>
                <c:pt idx="3">
                  <c:v>11535.720144223615</c:v>
                </c:pt>
                <c:pt idx="4">
                  <c:v>360976.54683488567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11535.720144223615</c:v>
                </c:pt>
                <c:pt idx="10">
                  <c:v>11535.720144223615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360976.54683488567</c:v>
                </c:pt>
                <c:pt idx="14">
                  <c:v>11535.720144223615</c:v>
                </c:pt>
                <c:pt idx="15">
                  <c:v>11535.720144223615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11535.720144223615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25-4E58-A324-A44F2CD2BB10}"/>
            </c:ext>
          </c:extLst>
        </c:ser>
        <c:ser>
          <c:idx val="1"/>
          <c:order val="1"/>
          <c:tx>
            <c:v>VOC con proyecto</c:v>
          </c:tx>
          <c:spPr>
            <a:ln w="190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exógenos'!$U$5:$U$24</c:f>
              <c:numCache>
                <c:formatCode>\ "USD"\ #,##0</c:formatCode>
                <c:ptCount val="20"/>
                <c:pt idx="0">
                  <c:v>404535.18421532307</c:v>
                </c:pt>
                <c:pt idx="1">
                  <c:v>438258.85489293054</c:v>
                </c:pt>
                <c:pt idx="2">
                  <c:v>473646.58694534597</c:v>
                </c:pt>
                <c:pt idx="3">
                  <c:v>513918.90827255172</c:v>
                </c:pt>
                <c:pt idx="4">
                  <c:v>547099.80201072176</c:v>
                </c:pt>
                <c:pt idx="5">
                  <c:v>590430.1968417156</c:v>
                </c:pt>
                <c:pt idx="6">
                  <c:v>637341.65914715943</c:v>
                </c:pt>
                <c:pt idx="7">
                  <c:v>688575.25257771672</c:v>
                </c:pt>
                <c:pt idx="8">
                  <c:v>744016.55157488701</c:v>
                </c:pt>
                <c:pt idx="9">
                  <c:v>804950.80487572378</c:v>
                </c:pt>
                <c:pt idx="10">
                  <c:v>871122.18829502992</c:v>
                </c:pt>
                <c:pt idx="11">
                  <c:v>945091.09203521034</c:v>
                </c:pt>
                <c:pt idx="12">
                  <c:v>1029697.610775115</c:v>
                </c:pt>
                <c:pt idx="13">
                  <c:v>1098701.753628524</c:v>
                </c:pt>
                <c:pt idx="14">
                  <c:v>1190227.400206228</c:v>
                </c:pt>
                <c:pt idx="15">
                  <c:v>1289523.006770273</c:v>
                </c:pt>
                <c:pt idx="16">
                  <c:v>1398437.4294664061</c:v>
                </c:pt>
                <c:pt idx="17">
                  <c:v>1516429.1220248302</c:v>
                </c:pt>
                <c:pt idx="18">
                  <c:v>1647537.7551390801</c:v>
                </c:pt>
                <c:pt idx="19">
                  <c:v>1790233.6350352901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25-4E58-A324-A44F2CD2BB10}"/>
            </c:ext>
          </c:extLst>
        </c:ser>
        <c:ser>
          <c:idx val="2"/>
          <c:order val="2"/>
          <c:tx>
            <c:v>Costos sin proyecto</c:v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exógenos'!$B$32:$B$51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exógenos'!$I$32:$I$51</c:f>
              <c:numCache>
                <c:formatCode>\ "USD"\ #,##0</c:formatCode>
                <c:ptCount val="20"/>
                <c:pt idx="0">
                  <c:v>11535.720144223615</c:v>
                </c:pt>
                <c:pt idx="1">
                  <c:v>11535.720144223615</c:v>
                </c:pt>
                <c:pt idx="2">
                  <c:v>11535.720144223615</c:v>
                </c:pt>
                <c:pt idx="3">
                  <c:v>360976.54683488567</c:v>
                </c:pt>
                <c:pt idx="4">
                  <c:v>11535.720144223615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360976.54683488567</c:v>
                </c:pt>
                <c:pt idx="10">
                  <c:v>11535.720144223615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11535.720144223615</c:v>
                </c:pt>
                <c:pt idx="14">
                  <c:v>360976.54683488567</c:v>
                </c:pt>
                <c:pt idx="15">
                  <c:v>11535.720144223615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360976.54683488567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25-4E58-A324-A44F2CD2BB10}"/>
            </c:ext>
          </c:extLst>
        </c:ser>
        <c:ser>
          <c:idx val="3"/>
          <c:order val="3"/>
          <c:tx>
            <c:v>VOC sin proyecto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exógenos'!$T$5:$T$24</c:f>
              <c:numCache>
                <c:formatCode>\ "USD"\ #,##0</c:formatCode>
                <c:ptCount val="20"/>
                <c:pt idx="0">
                  <c:v>435444.88067142596</c:v>
                </c:pt>
                <c:pt idx="1">
                  <c:v>472246.80408431531</c:v>
                </c:pt>
                <c:pt idx="2">
                  <c:v>511921.12563088542</c:v>
                </c:pt>
                <c:pt idx="3">
                  <c:v>546651.25044460769</c:v>
                </c:pt>
                <c:pt idx="4">
                  <c:v>589861.22747675411</c:v>
                </c:pt>
                <c:pt idx="5">
                  <c:v>636719.27085883927</c:v>
                </c:pt>
                <c:pt idx="6">
                  <c:v>688224.31389103178</c:v>
                </c:pt>
                <c:pt idx="7">
                  <c:v>744646.56456783949</c:v>
                </c:pt>
                <c:pt idx="8">
                  <c:v>811334.9596569062</c:v>
                </c:pt>
                <c:pt idx="9">
                  <c:v>865308.70808351738</c:v>
                </c:pt>
                <c:pt idx="10">
                  <c:v>936344.93385128828</c:v>
                </c:pt>
                <c:pt idx="11">
                  <c:v>1013623.3184044983</c:v>
                </c:pt>
                <c:pt idx="12">
                  <c:v>1099541.2257577416</c:v>
                </c:pt>
                <c:pt idx="13">
                  <c:v>1194646.6510085952</c:v>
                </c:pt>
                <c:pt idx="14">
                  <c:v>1282705.3804850671</c:v>
                </c:pt>
                <c:pt idx="15">
                  <c:v>1390530.9669287137</c:v>
                </c:pt>
                <c:pt idx="16">
                  <c:v>1507931.2871232342</c:v>
                </c:pt>
                <c:pt idx="17">
                  <c:v>1638482.0984690092</c:v>
                </c:pt>
                <c:pt idx="18">
                  <c:v>1783047.7387046714</c:v>
                </c:pt>
                <c:pt idx="19">
                  <c:v>1917664.197813116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25-4E58-A324-A44F2CD2B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6120"/>
        <c:axId val="555345336"/>
      </c:scatterChart>
      <c:valAx>
        <c:axId val="555346120"/>
        <c:scaling>
          <c:orientation val="minMax"/>
          <c:max val="2039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5336"/>
        <c:crosses val="autoZero"/>
        <c:crossBetween val="midCat"/>
        <c:majorUnit val="1"/>
      </c:valAx>
      <c:valAx>
        <c:axId val="555345336"/>
        <c:scaling>
          <c:orientation val="minMax"/>
          <c:max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Costos</a:t>
                </a:r>
              </a:p>
            </c:rich>
          </c:tx>
          <c:layout>
            <c:manualLayout>
              <c:xMode val="edge"/>
              <c:yMode val="edge"/>
              <c:x val="1.4920894708128751E-2"/>
              <c:y val="0.38255207565346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6120"/>
        <c:crosses val="autoZero"/>
        <c:crossBetween val="midCat"/>
        <c:majorUnit val="500000"/>
        <c:minorUnit val="5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Beneficios Exógenos - Costos de operación vehicular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0.15146917870084053"/>
          <c:y val="0.11547234114747064"/>
          <c:w val="0.8189058199708843"/>
          <c:h val="0.6160552825065333"/>
        </c:manualLayout>
      </c:layout>
      <c:scatterChart>
        <c:scatterStyle val="lineMarker"/>
        <c:varyColors val="0"/>
        <c:ser>
          <c:idx val="1"/>
          <c:order val="0"/>
          <c:tx>
            <c:v>VOC con proyecto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exógenos'!$U$5:$U$24</c:f>
              <c:numCache>
                <c:formatCode>\ "USD"\ #,##0</c:formatCode>
                <c:ptCount val="20"/>
                <c:pt idx="0">
                  <c:v>404535.18421532307</c:v>
                </c:pt>
                <c:pt idx="1">
                  <c:v>438258.85489293054</c:v>
                </c:pt>
                <c:pt idx="2">
                  <c:v>473646.58694534597</c:v>
                </c:pt>
                <c:pt idx="3">
                  <c:v>513918.90827255172</c:v>
                </c:pt>
                <c:pt idx="4">
                  <c:v>547099.80201072176</c:v>
                </c:pt>
                <c:pt idx="5">
                  <c:v>590430.1968417156</c:v>
                </c:pt>
                <c:pt idx="6">
                  <c:v>637341.65914715943</c:v>
                </c:pt>
                <c:pt idx="7">
                  <c:v>688575.25257771672</c:v>
                </c:pt>
                <c:pt idx="8">
                  <c:v>744016.55157488701</c:v>
                </c:pt>
                <c:pt idx="9">
                  <c:v>804950.80487572378</c:v>
                </c:pt>
                <c:pt idx="10">
                  <c:v>871122.18829502992</c:v>
                </c:pt>
                <c:pt idx="11">
                  <c:v>945091.09203521034</c:v>
                </c:pt>
                <c:pt idx="12">
                  <c:v>1029697.610775115</c:v>
                </c:pt>
                <c:pt idx="13">
                  <c:v>1098701.753628524</c:v>
                </c:pt>
                <c:pt idx="14">
                  <c:v>1190227.400206228</c:v>
                </c:pt>
                <c:pt idx="15">
                  <c:v>1289523.006770273</c:v>
                </c:pt>
                <c:pt idx="16">
                  <c:v>1398437.4294664061</c:v>
                </c:pt>
                <c:pt idx="17">
                  <c:v>1516429.1220248302</c:v>
                </c:pt>
                <c:pt idx="18">
                  <c:v>1647537.7551390801</c:v>
                </c:pt>
                <c:pt idx="19">
                  <c:v>1790233.6350352901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CE-49CB-A1C6-609462D05C87}"/>
            </c:ext>
          </c:extLst>
        </c:ser>
        <c:ser>
          <c:idx val="3"/>
          <c:order val="1"/>
          <c:tx>
            <c:v>VOC sin proyecto</c:v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exógenos'!$T$5:$T$24</c:f>
              <c:numCache>
                <c:formatCode>\ "USD"\ #,##0</c:formatCode>
                <c:ptCount val="20"/>
                <c:pt idx="0">
                  <c:v>435444.88067142596</c:v>
                </c:pt>
                <c:pt idx="1">
                  <c:v>472246.80408431531</c:v>
                </c:pt>
                <c:pt idx="2">
                  <c:v>511921.12563088542</c:v>
                </c:pt>
                <c:pt idx="3">
                  <c:v>546651.25044460769</c:v>
                </c:pt>
                <c:pt idx="4">
                  <c:v>589861.22747675411</c:v>
                </c:pt>
                <c:pt idx="5">
                  <c:v>636719.27085883927</c:v>
                </c:pt>
                <c:pt idx="6">
                  <c:v>688224.31389103178</c:v>
                </c:pt>
                <c:pt idx="7">
                  <c:v>744646.56456783949</c:v>
                </c:pt>
                <c:pt idx="8">
                  <c:v>811334.9596569062</c:v>
                </c:pt>
                <c:pt idx="9">
                  <c:v>865308.70808351738</c:v>
                </c:pt>
                <c:pt idx="10">
                  <c:v>936344.93385128828</c:v>
                </c:pt>
                <c:pt idx="11">
                  <c:v>1013623.3184044983</c:v>
                </c:pt>
                <c:pt idx="12">
                  <c:v>1099541.2257577416</c:v>
                </c:pt>
                <c:pt idx="13">
                  <c:v>1194646.6510085952</c:v>
                </c:pt>
                <c:pt idx="14">
                  <c:v>1282705.3804850671</c:v>
                </c:pt>
                <c:pt idx="15">
                  <c:v>1390530.9669287137</c:v>
                </c:pt>
                <c:pt idx="16">
                  <c:v>1507931.2871232342</c:v>
                </c:pt>
                <c:pt idx="17">
                  <c:v>1638482.0984690092</c:v>
                </c:pt>
                <c:pt idx="18">
                  <c:v>1783047.7387046714</c:v>
                </c:pt>
                <c:pt idx="19">
                  <c:v>1917664.197813116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3CE-49CB-A1C6-609462D0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8864"/>
        <c:axId val="555348472"/>
      </c:scatterChart>
      <c:valAx>
        <c:axId val="555348864"/>
        <c:scaling>
          <c:orientation val="minMax"/>
          <c:max val="2039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8472"/>
        <c:crosses val="autoZero"/>
        <c:crossBetween val="midCat"/>
        <c:majorUnit val="1"/>
      </c:valAx>
      <c:valAx>
        <c:axId val="555348472"/>
        <c:scaling>
          <c:orientation val="minMax"/>
          <c:max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Costos</a:t>
                </a:r>
              </a:p>
            </c:rich>
          </c:tx>
          <c:layout>
            <c:manualLayout>
              <c:xMode val="edge"/>
              <c:yMode val="edge"/>
              <c:x val="1.7181506157884111E-2"/>
              <c:y val="0.38587317744977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8864"/>
        <c:crosses val="autoZero"/>
        <c:crossBetween val="midCat"/>
        <c:majorUnit val="500000"/>
        <c:minorUnit val="5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348263147268535"/>
          <c:y val="0.90400611758130989"/>
          <c:w val="0.33289967802607667"/>
          <c:h val="6.1139636537828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/>
              <a:t>Beneficios Exógenos</a:t>
            </a:r>
            <a:r>
              <a:rPr lang="es-UY" baseline="0"/>
              <a:t> - Evolución de IRI y costos de obra</a:t>
            </a:r>
            <a:endParaRPr lang="es-UY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Costos con proyecto</c:v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exógenos'!$C$32:$C$51</c:f>
              <c:numCache>
                <c:formatCode>\ "USD"\ #,##0</c:formatCode>
                <c:ptCount val="20"/>
                <c:pt idx="0">
                  <c:v>11535.720144223615</c:v>
                </c:pt>
                <c:pt idx="1">
                  <c:v>11535.720144223615</c:v>
                </c:pt>
                <c:pt idx="2">
                  <c:v>11535.720144223615</c:v>
                </c:pt>
                <c:pt idx="3">
                  <c:v>11535.720144223615</c:v>
                </c:pt>
                <c:pt idx="4">
                  <c:v>360976.54683488567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11535.720144223615</c:v>
                </c:pt>
                <c:pt idx="10">
                  <c:v>11535.720144223615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360976.54683488567</c:v>
                </c:pt>
                <c:pt idx="14">
                  <c:v>11535.720144223615</c:v>
                </c:pt>
                <c:pt idx="15">
                  <c:v>11535.720144223615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11535.720144223615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D3-478C-AA76-241C014A0CFD}"/>
            </c:ext>
          </c:extLst>
        </c:ser>
        <c:ser>
          <c:idx val="3"/>
          <c:order val="1"/>
          <c:tx>
            <c:v>Costos sin proyecto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exógenos'!$I$32:$I$51</c:f>
              <c:numCache>
                <c:formatCode>\ "USD"\ #,##0</c:formatCode>
                <c:ptCount val="20"/>
                <c:pt idx="0">
                  <c:v>11535.720144223615</c:v>
                </c:pt>
                <c:pt idx="1">
                  <c:v>11535.720144223615</c:v>
                </c:pt>
                <c:pt idx="2">
                  <c:v>11535.720144223615</c:v>
                </c:pt>
                <c:pt idx="3">
                  <c:v>360976.54683488567</c:v>
                </c:pt>
                <c:pt idx="4">
                  <c:v>11535.720144223615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360976.54683488567</c:v>
                </c:pt>
                <c:pt idx="10">
                  <c:v>11535.720144223615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11535.720144223615</c:v>
                </c:pt>
                <c:pt idx="14">
                  <c:v>360976.54683488567</c:v>
                </c:pt>
                <c:pt idx="15">
                  <c:v>11535.720144223615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360976.54683488567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D3-478C-AA76-241C014A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4944"/>
        <c:axId val="555339064"/>
      </c:scatterChart>
      <c:scatterChart>
        <c:scatterStyle val="lineMarker"/>
        <c:varyColors val="0"/>
        <c:ser>
          <c:idx val="2"/>
          <c:order val="2"/>
          <c:tx>
            <c:v>IRI sin proyecto</c:v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exógenos'!$B$32:$B$51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exógenos'!$L$32:$L$51</c:f>
              <c:numCache>
                <c:formatCode>0.00</c:formatCode>
                <c:ptCount val="20"/>
                <c:pt idx="0">
                  <c:v>2.73</c:v>
                </c:pt>
                <c:pt idx="1">
                  <c:v>2.98</c:v>
                </c:pt>
                <c:pt idx="2">
                  <c:v>3.23</c:v>
                </c:pt>
                <c:pt idx="3">
                  <c:v>2</c:v>
                </c:pt>
                <c:pt idx="4">
                  <c:v>2.25</c:v>
                </c:pt>
                <c:pt idx="5">
                  <c:v>2.5</c:v>
                </c:pt>
                <c:pt idx="6">
                  <c:v>2.75</c:v>
                </c:pt>
                <c:pt idx="7">
                  <c:v>3</c:v>
                </c:pt>
                <c:pt idx="8">
                  <c:v>3.35</c:v>
                </c:pt>
                <c:pt idx="9">
                  <c:v>2.2000000000000002</c:v>
                </c:pt>
                <c:pt idx="10">
                  <c:v>2.4500000000000002</c:v>
                </c:pt>
                <c:pt idx="11">
                  <c:v>2.7</c:v>
                </c:pt>
                <c:pt idx="12">
                  <c:v>2.95</c:v>
                </c:pt>
                <c:pt idx="13">
                  <c:v>3.2</c:v>
                </c:pt>
                <c:pt idx="14">
                  <c:v>2.2000000000000002</c:v>
                </c:pt>
                <c:pt idx="15">
                  <c:v>2.4500000000000002</c:v>
                </c:pt>
                <c:pt idx="16">
                  <c:v>2.7</c:v>
                </c:pt>
                <c:pt idx="17">
                  <c:v>2.95</c:v>
                </c:pt>
                <c:pt idx="18">
                  <c:v>3.2</c:v>
                </c:pt>
                <c:pt idx="19">
                  <c:v>2.2000000000000002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2D3-478C-AA76-241C014A0CFD}"/>
            </c:ext>
          </c:extLst>
        </c:ser>
        <c:ser>
          <c:idx val="0"/>
          <c:order val="3"/>
          <c:tx>
            <c:v>IRI con proyecto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'Beneficios exógenos'!$B$5:$B$24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'Beneficios exógenos'!$D$32:$D$51</c:f>
              <c:numCache>
                <c:formatCode>0.00</c:formatCode>
                <c:ptCount val="20"/>
                <c:pt idx="0">
                  <c:v>2.73</c:v>
                </c:pt>
                <c:pt idx="1">
                  <c:v>2.88</c:v>
                </c:pt>
                <c:pt idx="2">
                  <c:v>3.03</c:v>
                </c:pt>
                <c:pt idx="3">
                  <c:v>3.3299999999999996</c:v>
                </c:pt>
                <c:pt idx="4">
                  <c:v>2</c:v>
                </c:pt>
                <c:pt idx="5">
                  <c:v>2.15</c:v>
                </c:pt>
                <c:pt idx="6">
                  <c:v>2.2999999999999998</c:v>
                </c:pt>
                <c:pt idx="7">
                  <c:v>2.4499999999999997</c:v>
                </c:pt>
                <c:pt idx="8">
                  <c:v>2.5999999999999996</c:v>
                </c:pt>
                <c:pt idx="9">
                  <c:v>2.7499999999999996</c:v>
                </c:pt>
                <c:pt idx="10">
                  <c:v>2.8999999999999995</c:v>
                </c:pt>
                <c:pt idx="11">
                  <c:v>3.0499999999999994</c:v>
                </c:pt>
                <c:pt idx="12">
                  <c:v>3.3499999999999992</c:v>
                </c:pt>
                <c:pt idx="13">
                  <c:v>2.2000000000000002</c:v>
                </c:pt>
                <c:pt idx="14">
                  <c:v>2.35</c:v>
                </c:pt>
                <c:pt idx="15">
                  <c:v>2.5</c:v>
                </c:pt>
                <c:pt idx="16">
                  <c:v>2.65</c:v>
                </c:pt>
                <c:pt idx="17">
                  <c:v>2.8</c:v>
                </c:pt>
                <c:pt idx="18">
                  <c:v>2.9499999999999997</c:v>
                </c:pt>
                <c:pt idx="19">
                  <c:v>3.0999999999999996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2D3-478C-AA76-241C014A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38280"/>
        <c:axId val="555342984"/>
      </c:scatterChart>
      <c:valAx>
        <c:axId val="555344944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39064"/>
        <c:crosses val="autoZero"/>
        <c:crossBetween val="midCat"/>
        <c:majorUnit val="1"/>
      </c:valAx>
      <c:valAx>
        <c:axId val="555339064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Costos</a:t>
                </a:r>
                <a:r>
                  <a:rPr lang="es-UY" sz="1100" baseline="0"/>
                  <a:t> </a:t>
                </a:r>
                <a:endParaRPr lang="es-UY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4944"/>
        <c:crosses val="autoZero"/>
        <c:crossBetween val="midCat"/>
      </c:valAx>
      <c:valAx>
        <c:axId val="55534298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sz="1100"/>
                  <a:t>IRI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38280"/>
        <c:crosses val="max"/>
        <c:crossBetween val="midCat"/>
      </c:valAx>
      <c:valAx>
        <c:axId val="555338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42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Costos de obra y de operación vehicular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0.15366194872647962"/>
          <c:y val="0.10697941258240386"/>
          <c:w val="0.81547516727662572"/>
          <c:h val="0.77925009373828258"/>
        </c:manualLayout>
      </c:layout>
      <c:scatterChart>
        <c:scatterStyle val="lineMarker"/>
        <c:varyColors val="0"/>
        <c:ser>
          <c:idx val="0"/>
          <c:order val="0"/>
          <c:tx>
            <c:v>Costo Alt Base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Comparación!$C$5:$C$25</c:f>
              <c:numCache>
                <c:formatCode>\ "USD"\ #,##0</c:formatCode>
                <c:ptCount val="21"/>
                <c:pt idx="1">
                  <c:v>11535.720144223615</c:v>
                </c:pt>
                <c:pt idx="2">
                  <c:v>11535.720144223615</c:v>
                </c:pt>
                <c:pt idx="3">
                  <c:v>11535.720144223615</c:v>
                </c:pt>
                <c:pt idx="4">
                  <c:v>360976.54683488567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11535.720144223615</c:v>
                </c:pt>
                <c:pt idx="10">
                  <c:v>360976.54683488567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11535.720144223615</c:v>
                </c:pt>
                <c:pt idx="14">
                  <c:v>11535.720144223615</c:v>
                </c:pt>
                <c:pt idx="15">
                  <c:v>360976.54683488567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11535.720144223615</c:v>
                </c:pt>
                <c:pt idx="20">
                  <c:v>360976.54683488567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EB-4CDA-80AB-C01B81853BF7}"/>
            </c:ext>
          </c:extLst>
        </c:ser>
        <c:ser>
          <c:idx val="1"/>
          <c:order val="1"/>
          <c:tx>
            <c:v>VOC Alt Base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Comparación!$D$5:$D$25</c:f>
              <c:numCache>
                <c:formatCode>\ "USD"\ #,##0</c:formatCode>
                <c:ptCount val="21"/>
                <c:pt idx="1">
                  <c:v>1016038.0548999942</c:v>
                </c:pt>
                <c:pt idx="2">
                  <c:v>1101909.209530069</c:v>
                </c:pt>
                <c:pt idx="3">
                  <c:v>1194482.6264720662</c:v>
                </c:pt>
                <c:pt idx="4">
                  <c:v>1275519.5843707512</c:v>
                </c:pt>
                <c:pt idx="5">
                  <c:v>1376342.8641124265</c:v>
                </c:pt>
                <c:pt idx="6">
                  <c:v>1485678.2986706248</c:v>
                </c:pt>
                <c:pt idx="7">
                  <c:v>1605856.7324124074</c:v>
                </c:pt>
                <c:pt idx="8">
                  <c:v>1737508.6506582927</c:v>
                </c:pt>
                <c:pt idx="9">
                  <c:v>1893114.9058661147</c:v>
                </c:pt>
                <c:pt idx="10">
                  <c:v>2019053.6521948739</c:v>
                </c:pt>
                <c:pt idx="11">
                  <c:v>2184804.8456530063</c:v>
                </c:pt>
                <c:pt idx="12">
                  <c:v>2365121.0762771629</c:v>
                </c:pt>
                <c:pt idx="13">
                  <c:v>2565596.1934347302</c:v>
                </c:pt>
                <c:pt idx="14">
                  <c:v>2787508.8523533884</c:v>
                </c:pt>
                <c:pt idx="15">
                  <c:v>2992979.2211318226</c:v>
                </c:pt>
                <c:pt idx="16">
                  <c:v>3244572.2561669988</c:v>
                </c:pt>
                <c:pt idx="17">
                  <c:v>3518506.3366208798</c:v>
                </c:pt>
                <c:pt idx="18">
                  <c:v>3823124.8964276877</c:v>
                </c:pt>
                <c:pt idx="19">
                  <c:v>4160444.7236442328</c:v>
                </c:pt>
                <c:pt idx="20">
                  <c:v>4474549.7948972695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B-4CDA-80AB-C01B81853BF7}"/>
            </c:ext>
          </c:extLst>
        </c:ser>
        <c:ser>
          <c:idx val="2"/>
          <c:order val="2"/>
          <c:tx>
            <c:v>Costos Alt I</c:v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Comparación!$E$5:$E$25</c:f>
              <c:numCache>
                <c:formatCode>\ "USD"\ #,##0</c:formatCode>
                <c:ptCount val="21"/>
                <c:pt idx="0">
                  <c:v>2457562.2924709879</c:v>
                </c:pt>
                <c:pt idx="1">
                  <c:v>15978.181907200516</c:v>
                </c:pt>
                <c:pt idx="2">
                  <c:v>15978.181907200516</c:v>
                </c:pt>
                <c:pt idx="3">
                  <c:v>15978.181907200516</c:v>
                </c:pt>
                <c:pt idx="4">
                  <c:v>15978.181907200516</c:v>
                </c:pt>
                <c:pt idx="5">
                  <c:v>15978.181907200516</c:v>
                </c:pt>
                <c:pt idx="6">
                  <c:v>15978.181907200516</c:v>
                </c:pt>
                <c:pt idx="7">
                  <c:v>15978.181907200516</c:v>
                </c:pt>
                <c:pt idx="8">
                  <c:v>15978.181907200516</c:v>
                </c:pt>
                <c:pt idx="9">
                  <c:v>15978.181907200516</c:v>
                </c:pt>
                <c:pt idx="10">
                  <c:v>15978.181907200516</c:v>
                </c:pt>
                <c:pt idx="11">
                  <c:v>412748.42930907337</c:v>
                </c:pt>
                <c:pt idx="12">
                  <c:v>15978.181907200516</c:v>
                </c:pt>
                <c:pt idx="13">
                  <c:v>15978.181907200516</c:v>
                </c:pt>
                <c:pt idx="14">
                  <c:v>15978.181907200516</c:v>
                </c:pt>
                <c:pt idx="15">
                  <c:v>15978.181907200516</c:v>
                </c:pt>
                <c:pt idx="16">
                  <c:v>15978.181907200516</c:v>
                </c:pt>
                <c:pt idx="17">
                  <c:v>15978.181907200516</c:v>
                </c:pt>
                <c:pt idx="18">
                  <c:v>412748.42930907337</c:v>
                </c:pt>
                <c:pt idx="19">
                  <c:v>15978.181907200516</c:v>
                </c:pt>
                <c:pt idx="20">
                  <c:v>15978.181907200516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6EB-4CDA-80AB-C01B81853BF7}"/>
            </c:ext>
          </c:extLst>
        </c:ser>
        <c:ser>
          <c:idx val="3"/>
          <c:order val="3"/>
          <c:tx>
            <c:v>VOC Alt I</c:v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Comparación!$B$6:$B$25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Comparación!$F$6:$F$25</c:f>
              <c:numCache>
                <c:formatCode>\ "USD"\ #,##0</c:formatCode>
                <c:ptCount val="20"/>
                <c:pt idx="0">
                  <c:v>939789.07500772248</c:v>
                </c:pt>
                <c:pt idx="1">
                  <c:v>1016748.7680864374</c:v>
                </c:pt>
                <c:pt idx="2">
                  <c:v>1097616.646596797</c:v>
                </c:pt>
                <c:pt idx="3">
                  <c:v>1183330.1726216096</c:v>
                </c:pt>
                <c:pt idx="4">
                  <c:v>1275824.3008004404</c:v>
                </c:pt>
                <c:pt idx="5">
                  <c:v>1377040.6615998053</c:v>
                </c:pt>
                <c:pt idx="6">
                  <c:v>1486403.768264544</c:v>
                </c:pt>
                <c:pt idx="7">
                  <c:v>1606651.1463818802</c:v>
                </c:pt>
                <c:pt idx="8">
                  <c:v>1736328.0965744762</c:v>
                </c:pt>
                <c:pt idx="9">
                  <c:v>1881121.2244964833</c:v>
                </c:pt>
                <c:pt idx="10">
                  <c:v>2016889.227729839</c:v>
                </c:pt>
                <c:pt idx="11">
                  <c:v>2182593.8075770251</c:v>
                </c:pt>
                <c:pt idx="12">
                  <c:v>2361899.3320411616</c:v>
                </c:pt>
                <c:pt idx="13">
                  <c:v>2558530.7262952346</c:v>
                </c:pt>
                <c:pt idx="14">
                  <c:v>2771145.0024730349</c:v>
                </c:pt>
                <c:pt idx="15">
                  <c:v>3005962.6603388689</c:v>
                </c:pt>
                <c:pt idx="16">
                  <c:v>3260777.2214869615</c:v>
                </c:pt>
                <c:pt idx="17">
                  <c:v>3514008.8281659433</c:v>
                </c:pt>
                <c:pt idx="18">
                  <c:v>3812952.6981358309</c:v>
                </c:pt>
                <c:pt idx="19">
                  <c:v>4136970.5127709638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6EB-4CDA-80AB-C01B81853BF7}"/>
            </c:ext>
          </c:extLst>
        </c:ser>
        <c:ser>
          <c:idx val="4"/>
          <c:order val="4"/>
          <c:tx>
            <c:v>Costos Alt II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Comparación!$G$5:$G$25</c:f>
              <c:numCache>
                <c:formatCode>\ "USD"\ #,##0</c:formatCode>
                <c:ptCount val="21"/>
                <c:pt idx="0">
                  <c:v>2567416.8460774082</c:v>
                </c:pt>
                <c:pt idx="1">
                  <c:v>22550.04250534689</c:v>
                </c:pt>
                <c:pt idx="2">
                  <c:v>22550.04250534689</c:v>
                </c:pt>
                <c:pt idx="3">
                  <c:v>22550.04250534689</c:v>
                </c:pt>
                <c:pt idx="4">
                  <c:v>22550.04250534689</c:v>
                </c:pt>
                <c:pt idx="5">
                  <c:v>22550.04250534689</c:v>
                </c:pt>
                <c:pt idx="6">
                  <c:v>22550.04250534689</c:v>
                </c:pt>
                <c:pt idx="7">
                  <c:v>22550.04250534689</c:v>
                </c:pt>
                <c:pt idx="8">
                  <c:v>22550.04250534689</c:v>
                </c:pt>
                <c:pt idx="9">
                  <c:v>22550.04250534689</c:v>
                </c:pt>
                <c:pt idx="10">
                  <c:v>235350.68980739036</c:v>
                </c:pt>
                <c:pt idx="11">
                  <c:v>22550.04250534689</c:v>
                </c:pt>
                <c:pt idx="12">
                  <c:v>22550.04250534689</c:v>
                </c:pt>
                <c:pt idx="13">
                  <c:v>22550.04250534689</c:v>
                </c:pt>
                <c:pt idx="14">
                  <c:v>22550.04250534689</c:v>
                </c:pt>
                <c:pt idx="15">
                  <c:v>22550.04250534689</c:v>
                </c:pt>
                <c:pt idx="16">
                  <c:v>22550.04250534689</c:v>
                </c:pt>
                <c:pt idx="17">
                  <c:v>22550.04250534689</c:v>
                </c:pt>
                <c:pt idx="18">
                  <c:v>22550.04250534689</c:v>
                </c:pt>
                <c:pt idx="19">
                  <c:v>22550.04250534689</c:v>
                </c:pt>
                <c:pt idx="20">
                  <c:v>22550.04250534689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6EB-4CDA-80AB-C01B81853BF7}"/>
            </c:ext>
          </c:extLst>
        </c:ser>
        <c:ser>
          <c:idx val="5"/>
          <c:order val="5"/>
          <c:tx>
            <c:v>VOC Alt II</c:v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Comparación!$B$6:$B$25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Comparación!$H$6:$H$25</c:f>
              <c:numCache>
                <c:formatCode>\ "USD"\ #,##0</c:formatCode>
                <c:ptCount val="20"/>
                <c:pt idx="0">
                  <c:v>942880.66919054941</c:v>
                </c:pt>
                <c:pt idx="1">
                  <c:v>1020344.5013558388</c:v>
                </c:pt>
                <c:pt idx="2">
                  <c:v>1101687.6586001925</c:v>
                </c:pt>
                <c:pt idx="3">
                  <c:v>1188764.0435473844</c:v>
                </c:pt>
                <c:pt idx="4">
                  <c:v>1282978.7118533805</c:v>
                </c:pt>
                <c:pt idx="5">
                  <c:v>1389008.8342451544</c:v>
                </c:pt>
                <c:pt idx="6">
                  <c:v>1506957.3783109232</c:v>
                </c:pt>
                <c:pt idx="7">
                  <c:v>1641442.3356950474</c:v>
                </c:pt>
                <c:pt idx="8">
                  <c:v>1783088.9378994927</c:v>
                </c:pt>
                <c:pt idx="9">
                  <c:v>1866275.4342588689</c:v>
                </c:pt>
                <c:pt idx="10">
                  <c:v>2018762.7387796249</c:v>
                </c:pt>
                <c:pt idx="11">
                  <c:v>2183725.8674785323</c:v>
                </c:pt>
                <c:pt idx="12">
                  <c:v>2364598.9989948892</c:v>
                </c:pt>
                <c:pt idx="13">
                  <c:v>2560126.3181120157</c:v>
                </c:pt>
                <c:pt idx="14">
                  <c:v>2776046.8740210342</c:v>
                </c:pt>
                <c:pt idx="15">
                  <c:v>3010303.340954551</c:v>
                </c:pt>
                <c:pt idx="16">
                  <c:v>3273819.9765317151</c:v>
                </c:pt>
                <c:pt idx="17">
                  <c:v>3567206.6151726902</c:v>
                </c:pt>
                <c:pt idx="18">
                  <c:v>3901557.8661572039</c:v>
                </c:pt>
                <c:pt idx="19">
                  <c:v>4255637.5735879783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6EB-4CDA-80AB-C01B818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0240"/>
        <c:axId val="555336712"/>
      </c:scatterChart>
      <c:valAx>
        <c:axId val="555340240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36712"/>
        <c:crosses val="autoZero"/>
        <c:crossBetween val="midCat"/>
        <c:majorUnit val="1"/>
      </c:valAx>
      <c:valAx>
        <c:axId val="55533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Costos</a:t>
                </a:r>
              </a:p>
            </c:rich>
          </c:tx>
          <c:layout>
            <c:manualLayout>
              <c:xMode val="edge"/>
              <c:yMode val="edge"/>
              <c:x val="1.5383795749640654E-2"/>
              <c:y val="0.38147051931008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0240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603424468378901"/>
          <c:y val="0.11481017997750281"/>
          <c:w val="0.12179673688262041"/>
          <c:h val="0.27826631046119232"/>
        </c:manualLayout>
      </c:layout>
      <c:overlay val="1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t" anchorCtr="0"/>
        <a:lstStyle/>
        <a:p>
          <a:pPr>
            <a:defRPr lang="en-US"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Costos de operación vehicular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0.15366194872647962"/>
          <c:y val="0.10697941258240386"/>
          <c:w val="0.81547516727662572"/>
          <c:h val="0.66913104611923513"/>
        </c:manualLayout>
      </c:layout>
      <c:scatterChart>
        <c:scatterStyle val="lineMarker"/>
        <c:varyColors val="0"/>
        <c:ser>
          <c:idx val="1"/>
          <c:order val="0"/>
          <c:tx>
            <c:v>VOC Alt Base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Comparación!$D$5:$D$25</c:f>
              <c:numCache>
                <c:formatCode>\ "USD"\ #,##0</c:formatCode>
                <c:ptCount val="21"/>
                <c:pt idx="1">
                  <c:v>1016038.0548999942</c:v>
                </c:pt>
                <c:pt idx="2">
                  <c:v>1101909.209530069</c:v>
                </c:pt>
                <c:pt idx="3">
                  <c:v>1194482.6264720662</c:v>
                </c:pt>
                <c:pt idx="4">
                  <c:v>1275519.5843707512</c:v>
                </c:pt>
                <c:pt idx="5">
                  <c:v>1376342.8641124265</c:v>
                </c:pt>
                <c:pt idx="6">
                  <c:v>1485678.2986706248</c:v>
                </c:pt>
                <c:pt idx="7">
                  <c:v>1605856.7324124074</c:v>
                </c:pt>
                <c:pt idx="8">
                  <c:v>1737508.6506582927</c:v>
                </c:pt>
                <c:pt idx="9">
                  <c:v>1893114.9058661147</c:v>
                </c:pt>
                <c:pt idx="10">
                  <c:v>2019053.6521948739</c:v>
                </c:pt>
                <c:pt idx="11">
                  <c:v>2184804.8456530063</c:v>
                </c:pt>
                <c:pt idx="12">
                  <c:v>2365121.0762771629</c:v>
                </c:pt>
                <c:pt idx="13">
                  <c:v>2565596.1934347302</c:v>
                </c:pt>
                <c:pt idx="14">
                  <c:v>2787508.8523533884</c:v>
                </c:pt>
                <c:pt idx="15">
                  <c:v>2992979.2211318226</c:v>
                </c:pt>
                <c:pt idx="16">
                  <c:v>3244572.2561669988</c:v>
                </c:pt>
                <c:pt idx="17">
                  <c:v>3518506.3366208798</c:v>
                </c:pt>
                <c:pt idx="18">
                  <c:v>3823124.8964276877</c:v>
                </c:pt>
                <c:pt idx="19">
                  <c:v>4160444.7236442328</c:v>
                </c:pt>
                <c:pt idx="20">
                  <c:v>4474549.7948972695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A9-4203-BAEF-B6550D5D11E0}"/>
            </c:ext>
          </c:extLst>
        </c:ser>
        <c:ser>
          <c:idx val="3"/>
          <c:order val="1"/>
          <c:tx>
            <c:v>VOC Alt I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Comparación!$B$6:$B$25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Comparación!$F$6:$F$25</c:f>
              <c:numCache>
                <c:formatCode>\ "USD"\ #,##0</c:formatCode>
                <c:ptCount val="20"/>
                <c:pt idx="0">
                  <c:v>939789.07500772248</c:v>
                </c:pt>
                <c:pt idx="1">
                  <c:v>1016748.7680864374</c:v>
                </c:pt>
                <c:pt idx="2">
                  <c:v>1097616.646596797</c:v>
                </c:pt>
                <c:pt idx="3">
                  <c:v>1183330.1726216096</c:v>
                </c:pt>
                <c:pt idx="4">
                  <c:v>1275824.3008004404</c:v>
                </c:pt>
                <c:pt idx="5">
                  <c:v>1377040.6615998053</c:v>
                </c:pt>
                <c:pt idx="6">
                  <c:v>1486403.768264544</c:v>
                </c:pt>
                <c:pt idx="7">
                  <c:v>1606651.1463818802</c:v>
                </c:pt>
                <c:pt idx="8">
                  <c:v>1736328.0965744762</c:v>
                </c:pt>
                <c:pt idx="9">
                  <c:v>1881121.2244964833</c:v>
                </c:pt>
                <c:pt idx="10">
                  <c:v>2016889.227729839</c:v>
                </c:pt>
                <c:pt idx="11">
                  <c:v>2182593.8075770251</c:v>
                </c:pt>
                <c:pt idx="12">
                  <c:v>2361899.3320411616</c:v>
                </c:pt>
                <c:pt idx="13">
                  <c:v>2558530.7262952346</c:v>
                </c:pt>
                <c:pt idx="14">
                  <c:v>2771145.0024730349</c:v>
                </c:pt>
                <c:pt idx="15">
                  <c:v>3005962.6603388689</c:v>
                </c:pt>
                <c:pt idx="16">
                  <c:v>3260777.2214869615</c:v>
                </c:pt>
                <c:pt idx="17">
                  <c:v>3514008.8281659433</c:v>
                </c:pt>
                <c:pt idx="18">
                  <c:v>3812952.6981358309</c:v>
                </c:pt>
                <c:pt idx="19">
                  <c:v>4136970.5127709638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A9-4203-BAEF-B6550D5D11E0}"/>
            </c:ext>
          </c:extLst>
        </c:ser>
        <c:ser>
          <c:idx val="5"/>
          <c:order val="2"/>
          <c:tx>
            <c:v>VOC Alt II</c:v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Comparación!$B$6:$B$25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xVal>
          <c:yVal>
            <c:numRef>
              <c:f>Comparación!$H$6:$H$25</c:f>
              <c:numCache>
                <c:formatCode>\ "USD"\ #,##0</c:formatCode>
                <c:ptCount val="20"/>
                <c:pt idx="0">
                  <c:v>942880.66919054941</c:v>
                </c:pt>
                <c:pt idx="1">
                  <c:v>1020344.5013558388</c:v>
                </c:pt>
                <c:pt idx="2">
                  <c:v>1101687.6586001925</c:v>
                </c:pt>
                <c:pt idx="3">
                  <c:v>1188764.0435473844</c:v>
                </c:pt>
                <c:pt idx="4">
                  <c:v>1282978.7118533805</c:v>
                </c:pt>
                <c:pt idx="5">
                  <c:v>1389008.8342451544</c:v>
                </c:pt>
                <c:pt idx="6">
                  <c:v>1506957.3783109232</c:v>
                </c:pt>
                <c:pt idx="7">
                  <c:v>1641442.3356950474</c:v>
                </c:pt>
                <c:pt idx="8">
                  <c:v>1783088.9378994927</c:v>
                </c:pt>
                <c:pt idx="9">
                  <c:v>1866275.4342588689</c:v>
                </c:pt>
                <c:pt idx="10">
                  <c:v>2018762.7387796249</c:v>
                </c:pt>
                <c:pt idx="11">
                  <c:v>2183725.8674785323</c:v>
                </c:pt>
                <c:pt idx="12">
                  <c:v>2364598.9989948892</c:v>
                </c:pt>
                <c:pt idx="13">
                  <c:v>2560126.3181120157</c:v>
                </c:pt>
                <c:pt idx="14">
                  <c:v>2776046.8740210342</c:v>
                </c:pt>
                <c:pt idx="15">
                  <c:v>3010303.340954551</c:v>
                </c:pt>
                <c:pt idx="16">
                  <c:v>3273819.9765317151</c:v>
                </c:pt>
                <c:pt idx="17">
                  <c:v>3567206.6151726902</c:v>
                </c:pt>
                <c:pt idx="18">
                  <c:v>3901557.8661572039</c:v>
                </c:pt>
                <c:pt idx="19">
                  <c:v>4255637.5735879783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A9-4203-BAEF-B6550D5D1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37104"/>
        <c:axId val="555346512"/>
      </c:scatterChart>
      <c:valAx>
        <c:axId val="555337104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6512"/>
        <c:crosses val="autoZero"/>
        <c:crossBetween val="midCat"/>
        <c:majorUnit val="1"/>
      </c:valAx>
      <c:valAx>
        <c:axId val="555346512"/>
        <c:scaling>
          <c:orientation val="minMax"/>
          <c:max val="4500000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Costos</a:t>
                </a:r>
              </a:p>
            </c:rich>
          </c:tx>
          <c:layout>
            <c:manualLayout>
              <c:xMode val="edge"/>
              <c:yMode val="edge"/>
              <c:x val="1.5383795749640654E-2"/>
              <c:y val="0.38147051931008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37104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4548228074639"/>
          <c:y val="0.92353651106111734"/>
          <c:w val="0.34098695927300721"/>
          <c:h val="5.563015560554931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lang="en-US"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Costos de obra</a:t>
            </a:r>
          </a:p>
        </c:rich>
      </c:tx>
      <c:layout>
        <c:manualLayout>
          <c:xMode val="edge"/>
          <c:yMode val="edge"/>
          <c:x val="0.48047837744391314"/>
          <c:y val="2.678571428571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0.15366194872647962"/>
          <c:y val="0.10697941258240386"/>
          <c:w val="0.81547516727662572"/>
          <c:h val="0.66020247469066362"/>
        </c:manualLayout>
      </c:layout>
      <c:scatterChart>
        <c:scatterStyle val="lineMarker"/>
        <c:varyColors val="0"/>
        <c:ser>
          <c:idx val="0"/>
          <c:order val="0"/>
          <c:tx>
            <c:v>Costo Alt Base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Comparación!$C$5:$C$25</c:f>
              <c:numCache>
                <c:formatCode>\ "USD"\ #,##0</c:formatCode>
                <c:ptCount val="21"/>
                <c:pt idx="1">
                  <c:v>11535.720144223615</c:v>
                </c:pt>
                <c:pt idx="2">
                  <c:v>11535.720144223615</c:v>
                </c:pt>
                <c:pt idx="3">
                  <c:v>11535.720144223615</c:v>
                </c:pt>
                <c:pt idx="4">
                  <c:v>360976.54683488567</c:v>
                </c:pt>
                <c:pt idx="5">
                  <c:v>11535.720144223615</c:v>
                </c:pt>
                <c:pt idx="6">
                  <c:v>11535.720144223615</c:v>
                </c:pt>
                <c:pt idx="7">
                  <c:v>11535.720144223615</c:v>
                </c:pt>
                <c:pt idx="8">
                  <c:v>11535.720144223615</c:v>
                </c:pt>
                <c:pt idx="9">
                  <c:v>11535.720144223615</c:v>
                </c:pt>
                <c:pt idx="10">
                  <c:v>360976.54683488567</c:v>
                </c:pt>
                <c:pt idx="11">
                  <c:v>11535.720144223615</c:v>
                </c:pt>
                <c:pt idx="12">
                  <c:v>11535.720144223615</c:v>
                </c:pt>
                <c:pt idx="13">
                  <c:v>11535.720144223615</c:v>
                </c:pt>
                <c:pt idx="14">
                  <c:v>11535.720144223615</c:v>
                </c:pt>
                <c:pt idx="15">
                  <c:v>360976.54683488567</c:v>
                </c:pt>
                <c:pt idx="16">
                  <c:v>11535.720144223615</c:v>
                </c:pt>
                <c:pt idx="17">
                  <c:v>11535.720144223615</c:v>
                </c:pt>
                <c:pt idx="18">
                  <c:v>11535.720144223615</c:v>
                </c:pt>
                <c:pt idx="19">
                  <c:v>11535.720144223615</c:v>
                </c:pt>
                <c:pt idx="20">
                  <c:v>360976.54683488567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B0-461B-AF12-DF1380787D52}"/>
            </c:ext>
          </c:extLst>
        </c:ser>
        <c:ser>
          <c:idx val="2"/>
          <c:order val="1"/>
          <c:tx>
            <c:v>Costos Alt I</c:v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Comparación!$E$5:$E$25</c:f>
              <c:numCache>
                <c:formatCode>\ "USD"\ #,##0</c:formatCode>
                <c:ptCount val="21"/>
                <c:pt idx="0">
                  <c:v>2457562.2924709879</c:v>
                </c:pt>
                <c:pt idx="1">
                  <c:v>15978.181907200516</c:v>
                </c:pt>
                <c:pt idx="2">
                  <c:v>15978.181907200516</c:v>
                </c:pt>
                <c:pt idx="3">
                  <c:v>15978.181907200516</c:v>
                </c:pt>
                <c:pt idx="4">
                  <c:v>15978.181907200516</c:v>
                </c:pt>
                <c:pt idx="5">
                  <c:v>15978.181907200516</c:v>
                </c:pt>
                <c:pt idx="6">
                  <c:v>15978.181907200516</c:v>
                </c:pt>
                <c:pt idx="7">
                  <c:v>15978.181907200516</c:v>
                </c:pt>
                <c:pt idx="8">
                  <c:v>15978.181907200516</c:v>
                </c:pt>
                <c:pt idx="9">
                  <c:v>15978.181907200516</c:v>
                </c:pt>
                <c:pt idx="10">
                  <c:v>15978.181907200516</c:v>
                </c:pt>
                <c:pt idx="11">
                  <c:v>412748.42930907337</c:v>
                </c:pt>
                <c:pt idx="12">
                  <c:v>15978.181907200516</c:v>
                </c:pt>
                <c:pt idx="13">
                  <c:v>15978.181907200516</c:v>
                </c:pt>
                <c:pt idx="14">
                  <c:v>15978.181907200516</c:v>
                </c:pt>
                <c:pt idx="15">
                  <c:v>15978.181907200516</c:v>
                </c:pt>
                <c:pt idx="16">
                  <c:v>15978.181907200516</c:v>
                </c:pt>
                <c:pt idx="17">
                  <c:v>15978.181907200516</c:v>
                </c:pt>
                <c:pt idx="18">
                  <c:v>412748.42930907337</c:v>
                </c:pt>
                <c:pt idx="19">
                  <c:v>15978.181907200516</c:v>
                </c:pt>
                <c:pt idx="20">
                  <c:v>15978.181907200516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B0-461B-AF12-DF1380787D52}"/>
            </c:ext>
          </c:extLst>
        </c:ser>
        <c:ser>
          <c:idx val="4"/>
          <c:order val="2"/>
          <c:tx>
            <c:v>Costos Alt II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Comparación!$B$5:$B$25</c:f>
              <c:numCache>
                <c:formatCode>General</c:formatCode>
                <c:ptCount val="2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</c:numCache>
            </c:numRef>
          </c:xVal>
          <c:yVal>
            <c:numRef>
              <c:f>Comparación!$G$5:$G$25</c:f>
              <c:numCache>
                <c:formatCode>\ "USD"\ #,##0</c:formatCode>
                <c:ptCount val="21"/>
                <c:pt idx="0">
                  <c:v>2567416.8460774082</c:v>
                </c:pt>
                <c:pt idx="1">
                  <c:v>22550.04250534689</c:v>
                </c:pt>
                <c:pt idx="2">
                  <c:v>22550.04250534689</c:v>
                </c:pt>
                <c:pt idx="3">
                  <c:v>22550.04250534689</c:v>
                </c:pt>
                <c:pt idx="4">
                  <c:v>22550.04250534689</c:v>
                </c:pt>
                <c:pt idx="5">
                  <c:v>22550.04250534689</c:v>
                </c:pt>
                <c:pt idx="6">
                  <c:v>22550.04250534689</c:v>
                </c:pt>
                <c:pt idx="7">
                  <c:v>22550.04250534689</c:v>
                </c:pt>
                <c:pt idx="8">
                  <c:v>22550.04250534689</c:v>
                </c:pt>
                <c:pt idx="9">
                  <c:v>22550.04250534689</c:v>
                </c:pt>
                <c:pt idx="10">
                  <c:v>235350.68980739036</c:v>
                </c:pt>
                <c:pt idx="11">
                  <c:v>22550.04250534689</c:v>
                </c:pt>
                <c:pt idx="12">
                  <c:v>22550.04250534689</c:v>
                </c:pt>
                <c:pt idx="13">
                  <c:v>22550.04250534689</c:v>
                </c:pt>
                <c:pt idx="14">
                  <c:v>22550.04250534689</c:v>
                </c:pt>
                <c:pt idx="15">
                  <c:v>22550.04250534689</c:v>
                </c:pt>
                <c:pt idx="16">
                  <c:v>22550.04250534689</c:v>
                </c:pt>
                <c:pt idx="17">
                  <c:v>22550.04250534689</c:v>
                </c:pt>
                <c:pt idx="18">
                  <c:v>22550.04250534689</c:v>
                </c:pt>
                <c:pt idx="19">
                  <c:v>22550.04250534689</c:v>
                </c:pt>
                <c:pt idx="20">
                  <c:v>22550.04250534689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B0-461B-AF12-DF1380787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1024"/>
        <c:axId val="555342592"/>
      </c:scatterChart>
      <c:valAx>
        <c:axId val="555341024"/>
        <c:scaling>
          <c:orientation val="minMax"/>
          <c:max val="2039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2592"/>
        <c:crosses val="autoZero"/>
        <c:crossBetween val="midCat"/>
        <c:majorUnit val="1"/>
      </c:valAx>
      <c:valAx>
        <c:axId val="55534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Costos</a:t>
                </a:r>
              </a:p>
            </c:rich>
          </c:tx>
          <c:layout>
            <c:manualLayout>
              <c:xMode val="edge"/>
              <c:yMode val="edge"/>
              <c:x val="1.5383795749640654E-2"/>
              <c:y val="0.38147051931008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\ &quot;USD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555341024"/>
        <c:crosses val="autoZero"/>
        <c:crossBetween val="midCat"/>
        <c:majorUnit val="500000"/>
        <c:minorUnit val="5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562036414876468"/>
          <c:y val="0.92651270153730791"/>
          <c:w val="0.38332430898498915"/>
          <c:h val="5.563015560554931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lang="en-US"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16</xdr:col>
      <xdr:colOff>145227</xdr:colOff>
      <xdr:row>63</xdr:row>
      <xdr:rowOff>146349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654844C6-C968-4F01-97AD-E7A552062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14</xdr:col>
      <xdr:colOff>251907</xdr:colOff>
      <xdr:row>63</xdr:row>
      <xdr:rowOff>146349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5A53D80F-303D-456F-9B25-A7BF23678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16</xdr:col>
      <xdr:colOff>495747</xdr:colOff>
      <xdr:row>61</xdr:row>
      <xdr:rowOff>146349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B36FE7F7-49EB-44B3-86E5-12E9D1ECE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556260</xdr:colOff>
      <xdr:row>30</xdr:row>
      <xdr:rowOff>0</xdr:rowOff>
    </xdr:from>
    <xdr:to>
      <xdr:col>24</xdr:col>
      <xdr:colOff>586740</xdr:colOff>
      <xdr:row>51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F2F3FED-558C-428D-AC2F-9D0F4B61E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52</xdr:row>
      <xdr:rowOff>160020</xdr:rowOff>
    </xdr:from>
    <xdr:to>
      <xdr:col>25</xdr:col>
      <xdr:colOff>0</xdr:colOff>
      <xdr:row>74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917CB4B2-E475-4A4E-A1DB-8A5E43706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30</xdr:row>
      <xdr:rowOff>0</xdr:rowOff>
    </xdr:from>
    <xdr:to>
      <xdr:col>42</xdr:col>
      <xdr:colOff>155537</xdr:colOff>
      <xdr:row>52</xdr:row>
      <xdr:rowOff>19051</xdr:rowOff>
    </xdr:to>
    <xdr:graphicFrame macro="">
      <xdr:nvGraphicFramePr>
        <xdr:cNvPr id="5" name="Gráfico 2">
          <a:extLst>
            <a:ext uri="{FF2B5EF4-FFF2-40B4-BE49-F238E27FC236}">
              <a16:creationId xmlns="" xmlns:a16="http://schemas.microsoft.com/office/drawing/2014/main" id="{DC260BE1-3B12-416D-8EBE-4EAAD074F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28</xdr:row>
      <xdr:rowOff>137160</xdr:rowOff>
    </xdr:from>
    <xdr:to>
      <xdr:col>7</xdr:col>
      <xdr:colOff>1356360</xdr:colOff>
      <xdr:row>52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15E3CE9-C4DB-4222-A840-4D525FE56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388620</xdr:colOff>
      <xdr:row>52</xdr:row>
      <xdr:rowOff>137160</xdr:rowOff>
    </xdr:from>
    <xdr:to>
      <xdr:col>7</xdr:col>
      <xdr:colOff>1356360</xdr:colOff>
      <xdr:row>76</xdr:row>
      <xdr:rowOff>15240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BBCD135A-F325-496B-B594-DA4BDD00E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624840</xdr:colOff>
      <xdr:row>78</xdr:row>
      <xdr:rowOff>15240</xdr:rowOff>
    </xdr:from>
    <xdr:to>
      <xdr:col>8</xdr:col>
      <xdr:colOff>15240</xdr:colOff>
      <xdr:row>101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96C7FFC5-E83E-42ED-BA99-D2B7EA1A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topLeftCell="D1" zoomScale="96" zoomScaleNormal="96" workbookViewId="0">
      <selection activeCell="D63" sqref="D63"/>
    </sheetView>
  </sheetViews>
  <sheetFormatPr baseColWidth="10" defaultColWidth="11.5546875" defaultRowHeight="14.4"/>
  <cols>
    <col min="1" max="1" width="2.44140625" customWidth="1"/>
    <col min="2" max="3" width="11.5546875" customWidth="1"/>
    <col min="4" max="4" width="63" customWidth="1"/>
    <col min="5" max="5" width="12.5546875" bestFit="1" customWidth="1"/>
    <col min="6" max="6" width="11.6640625" bestFit="1" customWidth="1"/>
    <col min="7" max="7" width="12.109375" bestFit="1" customWidth="1"/>
    <col min="8" max="8" width="13.5546875" bestFit="1" customWidth="1"/>
    <col min="9" max="9" width="11.6640625" bestFit="1" customWidth="1"/>
    <col min="10" max="10" width="12.109375" bestFit="1" customWidth="1"/>
  </cols>
  <sheetData>
    <row r="1" spans="2:10" ht="18">
      <c r="B1" s="262" t="s">
        <v>72</v>
      </c>
      <c r="C1" s="262"/>
      <c r="D1" s="262"/>
      <c r="E1" s="262"/>
      <c r="F1" s="262"/>
      <c r="G1" s="262"/>
      <c r="H1" s="262"/>
      <c r="I1" s="262"/>
      <c r="J1" s="262"/>
    </row>
    <row r="2" spans="2:10">
      <c r="D2" s="10"/>
      <c r="E2" s="11"/>
      <c r="F2" s="10"/>
      <c r="G2" s="10"/>
      <c r="H2" s="10"/>
      <c r="I2" s="10"/>
      <c r="J2" s="10"/>
    </row>
    <row r="3" spans="2:10">
      <c r="D3" s="10"/>
      <c r="E3" s="11"/>
      <c r="F3" s="265" t="s">
        <v>3</v>
      </c>
      <c r="G3" s="265"/>
      <c r="H3" s="10"/>
      <c r="I3" s="31" t="s">
        <v>4</v>
      </c>
      <c r="J3" s="31" t="s">
        <v>5</v>
      </c>
    </row>
    <row r="4" spans="2:10">
      <c r="B4" s="266" t="s">
        <v>0</v>
      </c>
      <c r="C4" s="31" t="s">
        <v>46</v>
      </c>
      <c r="D4" s="31" t="s">
        <v>6</v>
      </c>
      <c r="E4" s="31" t="s">
        <v>7</v>
      </c>
      <c r="F4" s="31" t="s">
        <v>4</v>
      </c>
      <c r="G4" s="31" t="s">
        <v>5</v>
      </c>
      <c r="H4" s="32" t="s">
        <v>1</v>
      </c>
      <c r="I4" s="33" t="s">
        <v>8</v>
      </c>
      <c r="J4" s="33" t="s">
        <v>8</v>
      </c>
    </row>
    <row r="5" spans="2:10">
      <c r="B5" s="266"/>
      <c r="C5" s="1"/>
      <c r="D5" s="12" t="s">
        <v>9</v>
      </c>
      <c r="E5" s="13" t="s">
        <v>10</v>
      </c>
      <c r="F5" s="14">
        <v>104.25306676452881</v>
      </c>
      <c r="G5" s="14">
        <v>87.289532157496112</v>
      </c>
      <c r="H5" s="15">
        <v>0.8372850302298791</v>
      </c>
      <c r="I5" s="16">
        <v>750622.08070460742</v>
      </c>
      <c r="J5" s="17">
        <v>628484.63153397199</v>
      </c>
    </row>
    <row r="6" spans="2:10">
      <c r="B6" s="266"/>
      <c r="C6" s="1"/>
      <c r="D6" s="12" t="s">
        <v>11</v>
      </c>
      <c r="E6" s="13" t="s">
        <v>10</v>
      </c>
      <c r="F6" s="14">
        <v>113.59583660726172</v>
      </c>
      <c r="G6" s="14">
        <v>91.874774208850312</v>
      </c>
      <c r="H6" s="15">
        <v>0.80878645690591389</v>
      </c>
      <c r="I6" s="16">
        <v>1681218.3817874733</v>
      </c>
      <c r="J6" s="17">
        <v>1359746.6582909846</v>
      </c>
    </row>
    <row r="7" spans="2:10">
      <c r="B7" s="266"/>
      <c r="C7" s="1"/>
      <c r="D7" s="12" t="s">
        <v>12</v>
      </c>
      <c r="E7" s="13" t="s">
        <v>10</v>
      </c>
      <c r="F7" s="14">
        <v>63.141403712087595</v>
      </c>
      <c r="G7" s="14">
        <v>53.039659530630907</v>
      </c>
      <c r="H7" s="15">
        <v>0.84001394350498348</v>
      </c>
      <c r="I7" s="16">
        <v>454618.10672703071</v>
      </c>
      <c r="J7" s="17">
        <v>381885.54862054251</v>
      </c>
    </row>
    <row r="8" spans="2:10">
      <c r="B8" s="266"/>
      <c r="C8" s="1"/>
      <c r="D8" s="12" t="s">
        <v>13</v>
      </c>
      <c r="E8" s="13" t="s">
        <v>14</v>
      </c>
      <c r="F8" s="14">
        <v>51.049821282467057</v>
      </c>
      <c r="G8" s="14">
        <v>43.147308947941156</v>
      </c>
      <c r="H8" s="15">
        <v>0.84519999999999995</v>
      </c>
      <c r="I8" s="16">
        <v>367558.71323376283</v>
      </c>
      <c r="J8" s="17">
        <v>277822.60117346665</v>
      </c>
    </row>
    <row r="9" spans="2:10">
      <c r="B9" s="266"/>
      <c r="C9" s="1"/>
      <c r="D9" s="12" t="s">
        <v>15</v>
      </c>
      <c r="E9" s="13" t="s">
        <v>10</v>
      </c>
      <c r="F9" s="14">
        <v>32.720865496308257</v>
      </c>
      <c r="G9" s="14">
        <v>27.744128777067246</v>
      </c>
      <c r="H9" s="15">
        <v>0.84790326772369418</v>
      </c>
      <c r="I9" s="16">
        <v>235590.23157341944</v>
      </c>
      <c r="J9" s="17">
        <v>199757.72719488418</v>
      </c>
    </row>
    <row r="10" spans="2:10">
      <c r="B10" s="266"/>
      <c r="C10" s="1"/>
      <c r="D10" s="12" t="s">
        <v>16</v>
      </c>
      <c r="E10" s="13" t="s">
        <v>17</v>
      </c>
      <c r="F10" s="14">
        <v>16.360432748154128</v>
      </c>
      <c r="G10" s="14">
        <v>13.872064388533623</v>
      </c>
      <c r="H10" s="15">
        <v>0.84790326772369418</v>
      </c>
      <c r="I10" s="16">
        <v>117795.11578670972</v>
      </c>
      <c r="J10" s="17">
        <v>99878.86359744209</v>
      </c>
    </row>
    <row r="11" spans="2:10">
      <c r="B11" s="266"/>
      <c r="C11" s="1"/>
      <c r="D11" s="12" t="s">
        <v>18</v>
      </c>
      <c r="E11" s="13" t="s">
        <v>10</v>
      </c>
      <c r="F11" s="14">
        <v>6.2782330345510653</v>
      </c>
      <c r="G11" s="14">
        <v>5.3421554162548386</v>
      </c>
      <c r="H11" s="15">
        <v>0.85090110336065883</v>
      </c>
      <c r="I11" s="16">
        <v>45203.27784876767</v>
      </c>
      <c r="J11" s="17">
        <v>38463.518997034837</v>
      </c>
    </row>
    <row r="12" spans="2:10">
      <c r="B12" s="266"/>
      <c r="C12" s="1"/>
      <c r="D12" s="12" t="s">
        <v>19</v>
      </c>
      <c r="E12" s="13" t="s">
        <v>10</v>
      </c>
      <c r="F12" s="14">
        <v>2.5262058000000001</v>
      </c>
      <c r="G12" s="14">
        <v>2.0209646400000003</v>
      </c>
      <c r="H12" s="15">
        <v>0.8</v>
      </c>
      <c r="I12" s="16">
        <v>18188.681759999999</v>
      </c>
      <c r="J12" s="17">
        <v>14550.945408000003</v>
      </c>
    </row>
    <row r="13" spans="2:10">
      <c r="B13" s="266"/>
      <c r="C13" s="1"/>
      <c r="D13" s="12" t="s">
        <v>20</v>
      </c>
      <c r="E13" s="13" t="s">
        <v>10</v>
      </c>
      <c r="F13" s="14">
        <v>13.736446561542659</v>
      </c>
      <c r="G13" s="14">
        <v>11.372284188803329</v>
      </c>
      <c r="H13" s="15">
        <v>0.82789126997675122</v>
      </c>
      <c r="I13" s="16">
        <v>98902.415243107142</v>
      </c>
      <c r="J13" s="17">
        <v>81880.446159383966</v>
      </c>
    </row>
    <row r="14" spans="2:10">
      <c r="B14" s="266"/>
      <c r="C14" s="1"/>
      <c r="D14" s="12" t="s">
        <v>2</v>
      </c>
      <c r="E14" s="13" t="s">
        <v>10</v>
      </c>
      <c r="F14" s="14">
        <v>5.3671200000000008</v>
      </c>
      <c r="G14" s="14">
        <v>4.4065182295200005</v>
      </c>
      <c r="H14" s="15">
        <v>0.821021</v>
      </c>
      <c r="I14" s="16">
        <v>38643.264000000003</v>
      </c>
      <c r="J14" s="17">
        <v>31726.931252544004</v>
      </c>
    </row>
    <row r="15" spans="2:10">
      <c r="B15" s="266"/>
      <c r="C15" s="1"/>
      <c r="D15" s="12" t="s">
        <v>21</v>
      </c>
      <c r="E15" s="13" t="s">
        <v>10</v>
      </c>
      <c r="F15" s="14">
        <v>5.2451400000000001</v>
      </c>
      <c r="G15" s="14">
        <v>4.1961120000000003</v>
      </c>
      <c r="H15" s="15">
        <v>0.8</v>
      </c>
      <c r="I15" s="16">
        <v>37765.008000000002</v>
      </c>
      <c r="J15" s="17">
        <v>30212.006400000002</v>
      </c>
    </row>
    <row r="16" spans="2:10">
      <c r="B16" s="266"/>
      <c r="C16" s="1"/>
      <c r="D16" s="12" t="s">
        <v>22</v>
      </c>
      <c r="E16" s="13" t="s">
        <v>10</v>
      </c>
      <c r="F16" s="14">
        <v>17.071739684999997</v>
      </c>
      <c r="G16" s="14">
        <v>13.884445885810498</v>
      </c>
      <c r="H16" s="15">
        <v>0.81330000000000002</v>
      </c>
      <c r="I16" s="16">
        <v>122916.52573199998</v>
      </c>
      <c r="J16" s="17">
        <v>99968.010377835584</v>
      </c>
    </row>
    <row r="17" spans="2:10">
      <c r="B17" s="266"/>
      <c r="C17" s="1"/>
      <c r="D17" s="12" t="s">
        <v>23</v>
      </c>
      <c r="E17" s="13" t="s">
        <v>10</v>
      </c>
      <c r="F17" s="14">
        <v>46.176174672360247</v>
      </c>
      <c r="G17" s="14">
        <v>37.291878665398137</v>
      </c>
      <c r="H17" s="15">
        <v>0.80759999999999998</v>
      </c>
      <c r="I17" s="16">
        <v>332468.45764099376</v>
      </c>
      <c r="J17" s="17">
        <v>268501.52639086655</v>
      </c>
    </row>
    <row r="18" spans="2:10">
      <c r="B18" s="18"/>
      <c r="C18" s="18"/>
      <c r="D18" s="10"/>
      <c r="E18" s="19"/>
      <c r="F18" s="20"/>
      <c r="G18" s="20"/>
      <c r="H18" s="10"/>
      <c r="I18" s="10"/>
      <c r="J18" s="10"/>
    </row>
    <row r="19" spans="2:10">
      <c r="B19" s="18"/>
      <c r="C19" s="18"/>
      <c r="D19" s="10"/>
      <c r="E19" s="11"/>
      <c r="F19" s="265" t="s">
        <v>3</v>
      </c>
      <c r="G19" s="265"/>
      <c r="H19" s="10"/>
      <c r="I19" s="31" t="s">
        <v>4</v>
      </c>
      <c r="J19" s="31" t="s">
        <v>5</v>
      </c>
    </row>
    <row r="20" spans="2:10">
      <c r="B20" s="266" t="s">
        <v>47</v>
      </c>
      <c r="C20" s="31" t="s">
        <v>46</v>
      </c>
      <c r="D20" s="31" t="s">
        <v>6</v>
      </c>
      <c r="E20" s="31" t="s">
        <v>7</v>
      </c>
      <c r="F20" s="31" t="s">
        <v>4</v>
      </c>
      <c r="G20" s="31" t="s">
        <v>5</v>
      </c>
      <c r="H20" s="32" t="s">
        <v>1</v>
      </c>
      <c r="I20" s="33" t="s">
        <v>8</v>
      </c>
      <c r="J20" s="33" t="s">
        <v>8</v>
      </c>
    </row>
    <row r="21" spans="2:10">
      <c r="B21" s="266"/>
      <c r="C21" s="21">
        <v>16</v>
      </c>
      <c r="D21" s="12" t="s">
        <v>22</v>
      </c>
      <c r="E21" s="13" t="s">
        <v>10</v>
      </c>
      <c r="F21" s="14">
        <v>13.591099053143708</v>
      </c>
      <c r="G21" s="14">
        <v>11.053640859921778</v>
      </c>
      <c r="H21" s="15">
        <v>0.81330000000000002</v>
      </c>
      <c r="I21" s="22"/>
      <c r="J21" s="22"/>
    </row>
    <row r="22" spans="2:10">
      <c r="B22" s="266"/>
      <c r="C22" s="21">
        <v>18</v>
      </c>
      <c r="D22" s="12" t="s">
        <v>24</v>
      </c>
      <c r="E22" s="13" t="s">
        <v>10</v>
      </c>
      <c r="F22" s="14">
        <v>23.944410985772588</v>
      </c>
      <c r="G22" s="14">
        <v>19.283631387391953</v>
      </c>
      <c r="H22" s="15">
        <v>0.80535000000000001</v>
      </c>
      <c r="I22" s="17">
        <v>172399.75909756264</v>
      </c>
      <c r="J22" s="17">
        <v>138842.14598922207</v>
      </c>
    </row>
    <row r="23" spans="2:10">
      <c r="B23" s="266"/>
      <c r="C23" s="21">
        <v>17</v>
      </c>
      <c r="D23" s="12" t="s">
        <v>25</v>
      </c>
      <c r="E23" s="13" t="s">
        <v>10</v>
      </c>
      <c r="F23" s="14">
        <v>32.799449341390179</v>
      </c>
      <c r="G23" s="14">
        <v>26.415036527088581</v>
      </c>
      <c r="H23" s="15">
        <v>0.80535000000000001</v>
      </c>
      <c r="I23" s="17">
        <v>236156.0352580093</v>
      </c>
      <c r="J23" s="17">
        <v>190188.2629950378</v>
      </c>
    </row>
    <row r="24" spans="2:10">
      <c r="B24" s="266"/>
      <c r="C24" s="21">
        <v>19</v>
      </c>
      <c r="D24" s="12" t="s">
        <v>26</v>
      </c>
      <c r="E24" s="13" t="s">
        <v>10</v>
      </c>
      <c r="F24" s="14">
        <v>22.894719224114326</v>
      </c>
      <c r="G24" s="14">
        <v>18.315775379291463</v>
      </c>
      <c r="H24" s="15">
        <v>0.8</v>
      </c>
      <c r="I24" s="17">
        <v>164841.97841362315</v>
      </c>
      <c r="J24" s="17">
        <v>131873.58273089852</v>
      </c>
    </row>
    <row r="25" spans="2:10">
      <c r="B25" s="266"/>
      <c r="C25" s="21">
        <v>20</v>
      </c>
      <c r="D25" s="12" t="s">
        <v>27</v>
      </c>
      <c r="E25" s="13" t="s">
        <v>10</v>
      </c>
      <c r="F25" s="14">
        <v>13.565295964774764</v>
      </c>
      <c r="G25" s="14">
        <v>10.852236771819811</v>
      </c>
      <c r="H25" s="15">
        <v>0.8</v>
      </c>
      <c r="I25" s="17">
        <v>97670.130946378296</v>
      </c>
      <c r="J25" s="17">
        <v>78136.104757102643</v>
      </c>
    </row>
    <row r="26" spans="2:10">
      <c r="B26" s="266"/>
      <c r="C26" s="21">
        <v>21</v>
      </c>
      <c r="D26" s="12" t="s">
        <v>28</v>
      </c>
      <c r="E26" s="13" t="s">
        <v>10</v>
      </c>
      <c r="F26" s="14">
        <v>13.317075655209914</v>
      </c>
      <c r="G26" s="14">
        <v>10.653660524167933</v>
      </c>
      <c r="H26" s="15">
        <v>0.8</v>
      </c>
      <c r="I26" s="17">
        <v>95882.944717511375</v>
      </c>
      <c r="J26" s="17">
        <v>76706.355774009106</v>
      </c>
    </row>
    <row r="27" spans="2:10">
      <c r="B27" s="266"/>
      <c r="C27" s="21">
        <v>22</v>
      </c>
      <c r="D27" s="12" t="s">
        <v>29</v>
      </c>
      <c r="E27" s="13" t="s">
        <v>10</v>
      </c>
      <c r="F27" s="14">
        <v>12.185474574068213</v>
      </c>
      <c r="G27" s="14">
        <v>9.7483796592545708</v>
      </c>
      <c r="H27" s="15">
        <v>0.8</v>
      </c>
      <c r="I27" s="17">
        <v>87735.416933291126</v>
      </c>
      <c r="J27" s="17">
        <v>70188.333546632901</v>
      </c>
    </row>
    <row r="28" spans="2:10">
      <c r="B28" s="266"/>
      <c r="C28" s="21">
        <v>23</v>
      </c>
      <c r="D28" s="12" t="s">
        <v>30</v>
      </c>
      <c r="E28" s="13" t="s">
        <v>10</v>
      </c>
      <c r="F28" s="14">
        <v>36.428442540800468</v>
      </c>
      <c r="G28" s="14">
        <v>29.419610195950458</v>
      </c>
      <c r="H28" s="15">
        <v>0.80759999999999998</v>
      </c>
      <c r="I28" s="17">
        <v>262284.78629376338</v>
      </c>
      <c r="J28" s="17">
        <v>211821.19341084329</v>
      </c>
    </row>
    <row r="29" spans="2:10">
      <c r="B29" s="18"/>
      <c r="C29" s="18"/>
      <c r="D29" s="10"/>
      <c r="E29" s="19"/>
      <c r="F29" s="23"/>
      <c r="G29" s="23"/>
      <c r="H29" s="24"/>
      <c r="I29" s="25"/>
      <c r="J29" s="25"/>
    </row>
    <row r="30" spans="2:10">
      <c r="B30" s="18"/>
      <c r="C30" s="18"/>
      <c r="D30" s="10"/>
      <c r="E30" s="11"/>
      <c r="F30" s="263" t="s">
        <v>3</v>
      </c>
      <c r="G30" s="263"/>
      <c r="H30" s="10"/>
      <c r="I30" s="34" t="s">
        <v>4</v>
      </c>
      <c r="J30" s="34" t="s">
        <v>5</v>
      </c>
    </row>
    <row r="31" spans="2:10" ht="14.4" customHeight="1">
      <c r="B31" s="267" t="s">
        <v>48</v>
      </c>
      <c r="C31" s="31" t="s">
        <v>46</v>
      </c>
      <c r="D31" s="31" t="s">
        <v>6</v>
      </c>
      <c r="E31" s="31" t="s">
        <v>7</v>
      </c>
      <c r="F31" s="31" t="s">
        <v>4</v>
      </c>
      <c r="G31" s="31" t="s">
        <v>5</v>
      </c>
      <c r="H31" s="31" t="s">
        <v>1</v>
      </c>
      <c r="I31" s="33" t="s">
        <v>8</v>
      </c>
      <c r="J31" s="33" t="s">
        <v>8</v>
      </c>
    </row>
    <row r="32" spans="2:10">
      <c r="B32" s="267"/>
      <c r="C32" s="21">
        <v>24</v>
      </c>
      <c r="D32" s="12" t="s">
        <v>31</v>
      </c>
      <c r="E32" s="13" t="s">
        <v>10</v>
      </c>
      <c r="F32" s="26">
        <v>265.24891538686143</v>
      </c>
      <c r="G32" s="26">
        <v>212.19913230948916</v>
      </c>
      <c r="H32" s="15">
        <v>0.8</v>
      </c>
      <c r="I32" s="22"/>
      <c r="J32" s="22"/>
    </row>
    <row r="33" spans="2:10">
      <c r="B33" s="267"/>
      <c r="C33" s="21">
        <v>25</v>
      </c>
      <c r="D33" s="12" t="s">
        <v>32</v>
      </c>
      <c r="E33" s="13" t="s">
        <v>33</v>
      </c>
      <c r="F33" s="26">
        <v>2.8973960612691463</v>
      </c>
      <c r="G33" s="26">
        <v>2.317916849015317</v>
      </c>
      <c r="H33" s="27">
        <v>0.8</v>
      </c>
      <c r="I33" s="17">
        <f>+F33*6*8*1000</f>
        <v>139075.01094091902</v>
      </c>
      <c r="J33" s="17">
        <f>+G33*6*8*1000</f>
        <v>111260.00875273522</v>
      </c>
    </row>
    <row r="34" spans="2:10">
      <c r="B34" s="267"/>
      <c r="C34" s="21">
        <v>26</v>
      </c>
      <c r="D34" s="12" t="s">
        <v>34</v>
      </c>
      <c r="E34" s="13" t="s">
        <v>10</v>
      </c>
      <c r="F34" s="26">
        <v>224.64279668133159</v>
      </c>
      <c r="G34" s="26">
        <v>179.71423734506527</v>
      </c>
      <c r="H34" s="27">
        <v>0.8</v>
      </c>
      <c r="I34" s="22"/>
      <c r="J34" s="22"/>
    </row>
    <row r="35" spans="2:10">
      <c r="B35" s="267"/>
      <c r="C35" s="21">
        <v>27</v>
      </c>
      <c r="D35" s="12" t="s">
        <v>35</v>
      </c>
      <c r="E35" s="13" t="s">
        <v>36</v>
      </c>
      <c r="F35" s="26">
        <v>1.5187529464998262</v>
      </c>
      <c r="G35" s="26">
        <v>1.2150023571998609</v>
      </c>
      <c r="H35" s="27">
        <v>0.8</v>
      </c>
      <c r="I35" s="22"/>
      <c r="J35" s="22"/>
    </row>
    <row r="36" spans="2:10">
      <c r="B36" s="267"/>
      <c r="C36" s="21">
        <v>28</v>
      </c>
      <c r="D36" s="12" t="s">
        <v>37</v>
      </c>
      <c r="E36" s="13" t="s">
        <v>10</v>
      </c>
      <c r="F36" s="26">
        <v>74.322114509771865</v>
      </c>
      <c r="G36" s="26">
        <v>59.457691607817495</v>
      </c>
      <c r="H36" s="27">
        <v>0.8</v>
      </c>
      <c r="I36" s="26"/>
      <c r="J36" s="26"/>
    </row>
    <row r="38" spans="2:10">
      <c r="C38" s="18"/>
      <c r="D38" s="10"/>
      <c r="E38" s="11"/>
      <c r="F38" s="263" t="s">
        <v>3</v>
      </c>
      <c r="G38" s="263"/>
      <c r="H38" s="10"/>
      <c r="I38" s="10"/>
      <c r="J38" s="10"/>
    </row>
    <row r="39" spans="2:10">
      <c r="B39" s="264" t="s">
        <v>49</v>
      </c>
      <c r="C39" s="34" t="s">
        <v>46</v>
      </c>
      <c r="D39" s="34" t="s">
        <v>6</v>
      </c>
      <c r="E39" s="34" t="s">
        <v>7</v>
      </c>
      <c r="F39" s="34" t="s">
        <v>4</v>
      </c>
      <c r="G39" s="34" t="s">
        <v>5</v>
      </c>
      <c r="H39" s="34" t="s">
        <v>1</v>
      </c>
      <c r="I39" s="10"/>
      <c r="J39" s="10"/>
    </row>
    <row r="40" spans="2:10">
      <c r="B40" s="264"/>
      <c r="C40" s="2">
        <v>31</v>
      </c>
      <c r="D40" s="12" t="s">
        <v>38</v>
      </c>
      <c r="E40" s="13" t="s">
        <v>39</v>
      </c>
      <c r="F40" s="28">
        <v>9800.4456160215504</v>
      </c>
      <c r="G40" s="28">
        <v>8090.2186871901349</v>
      </c>
      <c r="H40" s="29">
        <v>0.82549498300000002</v>
      </c>
      <c r="I40" s="10"/>
      <c r="J40" s="10"/>
    </row>
    <row r="41" spans="2:10">
      <c r="B41" s="264"/>
      <c r="C41" s="2">
        <v>32</v>
      </c>
      <c r="D41" s="12" t="s">
        <v>40</v>
      </c>
      <c r="E41" s="13" t="s">
        <v>39</v>
      </c>
      <c r="F41" s="28">
        <v>7399.2202224316006</v>
      </c>
      <c r="G41" s="28">
        <v>6108.0191717294301</v>
      </c>
      <c r="H41" s="29">
        <v>0.82549498300000002</v>
      </c>
      <c r="I41" s="10"/>
      <c r="J41" s="10"/>
    </row>
    <row r="42" spans="2:10">
      <c r="B42" s="264"/>
      <c r="C42" s="2">
        <v>33</v>
      </c>
      <c r="D42" s="12" t="s">
        <v>41</v>
      </c>
      <c r="E42" s="13" t="s">
        <v>39</v>
      </c>
      <c r="F42" s="28">
        <v>13831.389985179316</v>
      </c>
      <c r="G42" s="28">
        <v>11417.743040681969</v>
      </c>
      <c r="H42" s="29">
        <v>0.82549498300000002</v>
      </c>
      <c r="I42" s="10"/>
      <c r="J42" s="10"/>
    </row>
    <row r="43" spans="2:10">
      <c r="D43" s="10"/>
      <c r="E43" s="10"/>
      <c r="F43" s="30"/>
      <c r="G43" s="30"/>
      <c r="H43" s="10"/>
      <c r="I43" s="10"/>
      <c r="J43" s="10"/>
    </row>
    <row r="44" spans="2:10">
      <c r="C44" s="18"/>
      <c r="D44" s="10"/>
      <c r="E44" s="11"/>
      <c r="F44" s="263" t="s">
        <v>3</v>
      </c>
      <c r="G44" s="263"/>
      <c r="H44" s="10"/>
      <c r="I44" s="10"/>
      <c r="J44" s="10"/>
    </row>
    <row r="45" spans="2:10">
      <c r="B45" s="264" t="s">
        <v>50</v>
      </c>
      <c r="C45" s="31" t="s">
        <v>46</v>
      </c>
      <c r="D45" s="31" t="s">
        <v>6</v>
      </c>
      <c r="E45" s="31" t="s">
        <v>7</v>
      </c>
      <c r="F45" s="31" t="s">
        <v>4</v>
      </c>
      <c r="G45" s="31" t="s">
        <v>5</v>
      </c>
      <c r="H45" s="31" t="s">
        <v>1</v>
      </c>
      <c r="I45" s="10"/>
      <c r="J45" s="10"/>
    </row>
    <row r="46" spans="2:10">
      <c r="B46" s="264"/>
      <c r="C46" s="2"/>
      <c r="D46" s="12" t="s">
        <v>38</v>
      </c>
      <c r="E46" s="13" t="s">
        <v>39</v>
      </c>
      <c r="F46" s="28">
        <v>8068.2506778649358</v>
      </c>
      <c r="G46" s="28">
        <v>6660.3004561638536</v>
      </c>
      <c r="H46" s="29">
        <v>0.82549498300000002</v>
      </c>
      <c r="I46" s="10"/>
      <c r="J46" s="10"/>
    </row>
    <row r="47" spans="2:10">
      <c r="B47" s="264"/>
      <c r="C47" s="2"/>
      <c r="D47" s="12" t="s">
        <v>40</v>
      </c>
      <c r="E47" s="13" t="s">
        <v>39</v>
      </c>
      <c r="F47" s="28">
        <v>6567.4848068712154</v>
      </c>
      <c r="G47" s="28">
        <v>5421.425759000912</v>
      </c>
      <c r="H47" s="29">
        <v>0.82549498300000002</v>
      </c>
      <c r="I47" s="10"/>
      <c r="J47" s="10"/>
    </row>
    <row r="48" spans="2:10">
      <c r="B48" s="264"/>
      <c r="C48" s="2"/>
      <c r="D48" s="12" t="s">
        <v>41</v>
      </c>
      <c r="E48" s="13" t="s">
        <v>39</v>
      </c>
      <c r="F48" s="28">
        <v>10587.590908588538</v>
      </c>
      <c r="G48" s="28">
        <v>8740.0031770962505</v>
      </c>
      <c r="H48" s="29">
        <v>0.82549498300000002</v>
      </c>
      <c r="I48" s="10"/>
      <c r="J48" s="10"/>
    </row>
    <row r="49" spans="2:10">
      <c r="D49" s="10"/>
      <c r="E49" s="11"/>
      <c r="F49" s="30"/>
      <c r="G49" s="30"/>
      <c r="H49" s="10"/>
      <c r="I49" s="10"/>
      <c r="J49" s="10"/>
    </row>
    <row r="50" spans="2:10">
      <c r="C50" s="18"/>
      <c r="D50" s="10"/>
      <c r="E50" s="11"/>
      <c r="F50" s="263" t="s">
        <v>3</v>
      </c>
      <c r="G50" s="263"/>
      <c r="H50" s="10"/>
      <c r="I50" s="10"/>
      <c r="J50" s="10"/>
    </row>
    <row r="51" spans="2:10" ht="14.4" customHeight="1">
      <c r="B51" s="264" t="s">
        <v>51</v>
      </c>
      <c r="C51" s="31" t="s">
        <v>46</v>
      </c>
      <c r="D51" s="31" t="s">
        <v>6</v>
      </c>
      <c r="E51" s="31" t="s">
        <v>7</v>
      </c>
      <c r="F51" s="31" t="s">
        <v>4</v>
      </c>
      <c r="G51" s="31" t="s">
        <v>5</v>
      </c>
      <c r="H51" s="31" t="s">
        <v>1</v>
      </c>
      <c r="I51" s="10"/>
      <c r="J51" s="10"/>
    </row>
    <row r="52" spans="2:10">
      <c r="B52" s="264"/>
      <c r="C52" s="2"/>
      <c r="D52" s="12" t="s">
        <v>38</v>
      </c>
      <c r="E52" s="13" t="s">
        <v>39</v>
      </c>
      <c r="F52" s="28">
        <v>12794.394636086927</v>
      </c>
      <c r="G52" s="28">
        <v>10561.708582611869</v>
      </c>
      <c r="H52" s="29">
        <v>0.82549498300000002</v>
      </c>
      <c r="I52" s="10"/>
      <c r="J52" s="10"/>
    </row>
    <row r="53" spans="2:10">
      <c r="B53" s="264"/>
      <c r="C53" s="2"/>
      <c r="D53" s="12" t="s">
        <v>40</v>
      </c>
      <c r="E53" s="13" t="s">
        <v>39</v>
      </c>
      <c r="F53" s="28">
        <v>8602.6626784599812</v>
      </c>
      <c r="G53" s="28">
        <v>7101.454881510057</v>
      </c>
      <c r="H53" s="29">
        <v>0.82549498300000002</v>
      </c>
      <c r="I53" s="10"/>
      <c r="J53" s="10"/>
    </row>
    <row r="54" spans="2:10">
      <c r="B54" s="264"/>
      <c r="C54" s="2"/>
      <c r="D54" s="12" t="s">
        <v>41</v>
      </c>
      <c r="E54" s="13" t="s">
        <v>39</v>
      </c>
      <c r="F54" s="28">
        <v>18840.81118982358</v>
      </c>
      <c r="G54" s="28">
        <v>15552.995112849627</v>
      </c>
      <c r="H54" s="29">
        <v>0.82549498300000002</v>
      </c>
      <c r="I54" s="10"/>
      <c r="J54" s="10"/>
    </row>
    <row r="55" spans="2:10">
      <c r="D55" s="10"/>
      <c r="E55" s="11"/>
      <c r="F55" s="30"/>
      <c r="G55" s="30"/>
      <c r="H55" s="10"/>
      <c r="I55" s="10"/>
      <c r="J55" s="10"/>
    </row>
    <row r="56" spans="2:10">
      <c r="D56" s="10" t="s">
        <v>42</v>
      </c>
      <c r="E56" s="11"/>
      <c r="F56" s="30"/>
      <c r="G56" s="30"/>
      <c r="H56" s="10"/>
      <c r="I56" s="10"/>
      <c r="J56" s="10"/>
    </row>
    <row r="57" spans="2:10">
      <c r="D57" s="10" t="s">
        <v>43</v>
      </c>
      <c r="E57" s="11"/>
      <c r="F57" s="30"/>
      <c r="G57" s="30"/>
      <c r="H57" s="10"/>
      <c r="I57" s="10"/>
      <c r="J57" s="10"/>
    </row>
    <row r="58" spans="2:10">
      <c r="D58" s="10" t="s">
        <v>44</v>
      </c>
      <c r="E58" s="11"/>
      <c r="F58" s="30"/>
      <c r="G58" s="30"/>
      <c r="H58" s="10"/>
      <c r="I58" s="10"/>
      <c r="J58" s="10"/>
    </row>
    <row r="59" spans="2:10">
      <c r="D59" s="10" t="s">
        <v>45</v>
      </c>
      <c r="E59" s="11"/>
      <c r="F59" s="30"/>
      <c r="G59" s="30"/>
      <c r="H59" s="10"/>
      <c r="I59" s="10"/>
      <c r="J59" s="10"/>
    </row>
    <row r="60" spans="2:10">
      <c r="D60" s="10"/>
      <c r="E60" s="11"/>
      <c r="F60" s="30"/>
      <c r="G60" s="30"/>
      <c r="H60" s="10"/>
      <c r="I60" s="10"/>
      <c r="J60" s="10"/>
    </row>
  </sheetData>
  <mergeCells count="13">
    <mergeCell ref="F50:G50"/>
    <mergeCell ref="B51:B54"/>
    <mergeCell ref="F19:G19"/>
    <mergeCell ref="B20:B28"/>
    <mergeCell ref="F30:G30"/>
    <mergeCell ref="B31:B36"/>
    <mergeCell ref="B1:J1"/>
    <mergeCell ref="F38:G38"/>
    <mergeCell ref="B39:B42"/>
    <mergeCell ref="F44:G44"/>
    <mergeCell ref="B45:B48"/>
    <mergeCell ref="F3:G3"/>
    <mergeCell ref="B4:B17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0"/>
  <sheetViews>
    <sheetView topLeftCell="A4" workbookViewId="0">
      <pane ySplit="4" topLeftCell="A11" activePane="bottomLeft" state="frozen"/>
      <selection activeCell="G42" sqref="G42"/>
      <selection pane="bottomLeft" activeCell="U20" sqref="U20"/>
    </sheetView>
  </sheetViews>
  <sheetFormatPr baseColWidth="10" defaultColWidth="11.44140625" defaultRowHeight="13.8"/>
  <cols>
    <col min="1" max="11" width="11.44140625" style="194"/>
    <col min="12" max="12" width="13.33203125" style="194" bestFit="1" customWidth="1"/>
    <col min="13" max="16384" width="11.44140625" style="194"/>
  </cols>
  <sheetData>
    <row r="2" spans="1:18">
      <c r="A2" s="192" t="s">
        <v>80</v>
      </c>
      <c r="B2" s="193" t="s">
        <v>81</v>
      </c>
      <c r="D2" s="192" t="s">
        <v>82</v>
      </c>
      <c r="E2" s="193" t="s">
        <v>83</v>
      </c>
      <c r="G2" s="192" t="s">
        <v>84</v>
      </c>
      <c r="H2" s="193" t="s">
        <v>85</v>
      </c>
      <c r="I2" s="192" t="s">
        <v>86</v>
      </c>
      <c r="J2" s="193" t="s">
        <v>87</v>
      </c>
    </row>
    <row r="4" spans="1:18" ht="15.6" customHeight="1">
      <c r="A4" s="294" t="s">
        <v>119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8" ht="14.4" thickBot="1"/>
    <row r="6" spans="1:18" ht="14.4" customHeight="1" thickBot="1">
      <c r="A6" s="295" t="s">
        <v>57</v>
      </c>
      <c r="B6" s="297" t="s">
        <v>63</v>
      </c>
      <c r="C6" s="298"/>
      <c r="D6" s="299"/>
      <c r="E6" s="297" t="s">
        <v>64</v>
      </c>
      <c r="F6" s="298"/>
      <c r="G6" s="299"/>
      <c r="H6" s="297" t="s">
        <v>88</v>
      </c>
      <c r="I6" s="298"/>
      <c r="J6" s="299"/>
      <c r="K6" s="297" t="s">
        <v>89</v>
      </c>
      <c r="L6" s="298"/>
      <c r="M6" s="299"/>
      <c r="N6" s="297" t="s">
        <v>67</v>
      </c>
      <c r="O6" s="298"/>
      <c r="P6" s="299"/>
    </row>
    <row r="7" spans="1:18" ht="21.75" customHeight="1" thickBot="1">
      <c r="A7" s="296"/>
      <c r="B7" s="195" t="s">
        <v>90</v>
      </c>
      <c r="C7" s="196" t="s">
        <v>91</v>
      </c>
      <c r="D7" s="197" t="s">
        <v>92</v>
      </c>
      <c r="E7" s="195" t="s">
        <v>90</v>
      </c>
      <c r="F7" s="196" t="s">
        <v>91</v>
      </c>
      <c r="G7" s="197" t="s">
        <v>92</v>
      </c>
      <c r="H7" s="195" t="s">
        <v>90</v>
      </c>
      <c r="I7" s="196" t="s">
        <v>91</v>
      </c>
      <c r="J7" s="197" t="s">
        <v>92</v>
      </c>
      <c r="K7" s="195" t="s">
        <v>90</v>
      </c>
      <c r="L7" s="196" t="s">
        <v>91</v>
      </c>
      <c r="M7" s="197" t="s">
        <v>92</v>
      </c>
      <c r="N7" s="195" t="s">
        <v>90</v>
      </c>
      <c r="O7" s="196" t="s">
        <v>91</v>
      </c>
      <c r="P7" s="197" t="s">
        <v>92</v>
      </c>
      <c r="R7" s="204" t="s">
        <v>90</v>
      </c>
    </row>
    <row r="8" spans="1:18" ht="13.95" customHeight="1">
      <c r="A8" s="198">
        <v>1.6</v>
      </c>
      <c r="B8" s="199">
        <v>49.08</v>
      </c>
      <c r="C8" s="200">
        <v>0.23041</v>
      </c>
      <c r="D8" s="201">
        <v>0.21465000000000001</v>
      </c>
      <c r="E8" s="199">
        <v>49.09</v>
      </c>
      <c r="F8" s="200">
        <v>0.69286000000000003</v>
      </c>
      <c r="G8" s="201">
        <v>1.0622400000000001</v>
      </c>
      <c r="H8" s="199">
        <v>48.48</v>
      </c>
      <c r="I8" s="200">
        <v>0.56020999999999999</v>
      </c>
      <c r="J8" s="201">
        <v>1.444E-2</v>
      </c>
      <c r="K8" s="199">
        <v>49.07</v>
      </c>
      <c r="L8" s="200">
        <v>0.91259999999999997</v>
      </c>
      <c r="M8" s="201">
        <v>1.426E-2</v>
      </c>
      <c r="N8" s="199">
        <v>48.9</v>
      </c>
      <c r="O8" s="200">
        <v>1.10433</v>
      </c>
      <c r="P8" s="201">
        <v>1.4319999999999999E-2</v>
      </c>
      <c r="R8" s="205">
        <f>+AVERAGE(N8,K8,H8,E8)</f>
        <v>48.884999999999998</v>
      </c>
    </row>
    <row r="9" spans="1:18" ht="13.95" customHeight="1">
      <c r="A9" s="202">
        <v>1.7</v>
      </c>
      <c r="B9" s="199">
        <v>49.08</v>
      </c>
      <c r="C9" s="200">
        <v>0.23045499999999999</v>
      </c>
      <c r="D9" s="201">
        <v>0.21465000000000001</v>
      </c>
      <c r="E9" s="199">
        <v>49.09</v>
      </c>
      <c r="F9" s="200">
        <v>0.69311</v>
      </c>
      <c r="G9" s="201">
        <v>1.0622450000000001</v>
      </c>
      <c r="H9" s="199">
        <v>48.475000000000001</v>
      </c>
      <c r="I9" s="200">
        <v>0.56037499999999996</v>
      </c>
      <c r="J9" s="201">
        <v>1.444E-2</v>
      </c>
      <c r="K9" s="199">
        <v>49.07</v>
      </c>
      <c r="L9" s="200">
        <v>0.91307000000000005</v>
      </c>
      <c r="M9" s="201">
        <v>1.426E-2</v>
      </c>
      <c r="N9" s="199">
        <v>48.9</v>
      </c>
      <c r="O9" s="200">
        <v>1.104975</v>
      </c>
      <c r="P9" s="201">
        <v>1.4319999999999999E-2</v>
      </c>
      <c r="R9" s="205">
        <f t="shared" ref="R9:R32" si="0">+AVERAGE(N9,K9,H9,E9)</f>
        <v>48.883749999999999</v>
      </c>
    </row>
    <row r="10" spans="1:18" ht="13.95" customHeight="1">
      <c r="A10" s="202">
        <v>1.8</v>
      </c>
      <c r="B10" s="199">
        <v>49.08</v>
      </c>
      <c r="C10" s="200">
        <v>0.23050000000000001</v>
      </c>
      <c r="D10" s="201">
        <v>0.21465000000000001</v>
      </c>
      <c r="E10" s="199">
        <v>49.09</v>
      </c>
      <c r="F10" s="200">
        <v>0.69335999999999998</v>
      </c>
      <c r="G10" s="201">
        <v>1.0622499999999999</v>
      </c>
      <c r="H10" s="199">
        <v>48.47</v>
      </c>
      <c r="I10" s="200">
        <v>0.56054000000000004</v>
      </c>
      <c r="J10" s="201">
        <v>1.444E-2</v>
      </c>
      <c r="K10" s="199">
        <v>49.07</v>
      </c>
      <c r="L10" s="200">
        <v>0.91354000000000002</v>
      </c>
      <c r="M10" s="201">
        <v>1.426E-2</v>
      </c>
      <c r="N10" s="199">
        <v>48.9</v>
      </c>
      <c r="O10" s="200">
        <v>1.10562</v>
      </c>
      <c r="P10" s="201">
        <v>1.4319999999999999E-2</v>
      </c>
      <c r="R10" s="205">
        <f t="shared" si="0"/>
        <v>48.8825</v>
      </c>
    </row>
    <row r="11" spans="1:18" ht="13.95" customHeight="1">
      <c r="A11" s="202">
        <v>1.9</v>
      </c>
      <c r="B11" s="199">
        <v>49.08</v>
      </c>
      <c r="C11" s="200">
        <v>0.23055</v>
      </c>
      <c r="D11" s="201">
        <v>0.21465000000000001</v>
      </c>
      <c r="E11" s="199">
        <v>49.09</v>
      </c>
      <c r="F11" s="200">
        <v>0.69362000000000001</v>
      </c>
      <c r="G11" s="201">
        <v>1.0622499999999999</v>
      </c>
      <c r="H11" s="199">
        <v>48.47</v>
      </c>
      <c r="I11" s="200">
        <v>0.56071000000000004</v>
      </c>
      <c r="J11" s="201">
        <v>1.444E-2</v>
      </c>
      <c r="K11" s="199">
        <v>49.07</v>
      </c>
      <c r="L11" s="200">
        <v>0.91402000000000005</v>
      </c>
      <c r="M11" s="201">
        <v>1.426E-2</v>
      </c>
      <c r="N11" s="199">
        <v>48.895000000000003</v>
      </c>
      <c r="O11" s="200">
        <v>1.1062749999999999</v>
      </c>
      <c r="P11" s="201">
        <v>1.4319999999999999E-2</v>
      </c>
      <c r="R11" s="205">
        <f t="shared" si="0"/>
        <v>48.881250000000001</v>
      </c>
    </row>
    <row r="12" spans="1:18" ht="13.95" customHeight="1">
      <c r="A12" s="202">
        <v>2</v>
      </c>
      <c r="B12" s="199">
        <v>49.08</v>
      </c>
      <c r="C12" s="200">
        <v>0.2306</v>
      </c>
      <c r="D12" s="201">
        <v>0.21465000000000001</v>
      </c>
      <c r="E12" s="199">
        <v>49.09</v>
      </c>
      <c r="F12" s="200">
        <v>0.69388000000000005</v>
      </c>
      <c r="G12" s="201">
        <v>1.0622499999999999</v>
      </c>
      <c r="H12" s="199">
        <v>48.47</v>
      </c>
      <c r="I12" s="200">
        <v>0.56088000000000005</v>
      </c>
      <c r="J12" s="201">
        <v>1.444E-2</v>
      </c>
      <c r="K12" s="199">
        <v>49.07</v>
      </c>
      <c r="L12" s="200">
        <v>0.91449999999999998</v>
      </c>
      <c r="M12" s="201">
        <v>1.426E-2</v>
      </c>
      <c r="N12" s="199">
        <v>48.89</v>
      </c>
      <c r="O12" s="200">
        <v>1.10693</v>
      </c>
      <c r="P12" s="201">
        <v>1.4319999999999999E-2</v>
      </c>
      <c r="R12" s="205">
        <f t="shared" si="0"/>
        <v>48.88</v>
      </c>
    </row>
    <row r="13" spans="1:18" ht="13.95" customHeight="1">
      <c r="A13" s="202">
        <v>2.1</v>
      </c>
      <c r="B13" s="199">
        <v>49.08</v>
      </c>
      <c r="C13" s="200">
        <v>0.23064999999999999</v>
      </c>
      <c r="D13" s="201">
        <v>0.21465000000000001</v>
      </c>
      <c r="E13" s="199">
        <v>49.09</v>
      </c>
      <c r="F13" s="200">
        <v>0.69417499999999999</v>
      </c>
      <c r="G13" s="201">
        <v>1.0622499999999999</v>
      </c>
      <c r="H13" s="199">
        <v>48.465000000000003</v>
      </c>
      <c r="I13" s="200">
        <v>0.56106</v>
      </c>
      <c r="J13" s="201">
        <v>1.444E-2</v>
      </c>
      <c r="K13" s="199">
        <v>49.07</v>
      </c>
      <c r="L13" s="200">
        <v>0.91500000000000004</v>
      </c>
      <c r="M13" s="201">
        <v>1.426E-2</v>
      </c>
      <c r="N13" s="199">
        <v>48.89</v>
      </c>
      <c r="O13" s="200">
        <v>1.107615</v>
      </c>
      <c r="P13" s="201">
        <v>1.4319999999999999E-2</v>
      </c>
      <c r="R13" s="205">
        <f t="shared" si="0"/>
        <v>48.878750000000004</v>
      </c>
    </row>
    <row r="14" spans="1:18" ht="13.95" customHeight="1">
      <c r="A14" s="202">
        <v>2.2000000000000002</v>
      </c>
      <c r="B14" s="199">
        <v>49.08</v>
      </c>
      <c r="C14" s="200">
        <v>0.23069999999999999</v>
      </c>
      <c r="D14" s="201">
        <v>0.21465000000000001</v>
      </c>
      <c r="E14" s="199">
        <v>49.09</v>
      </c>
      <c r="F14" s="200">
        <v>0.69447000000000003</v>
      </c>
      <c r="G14" s="201">
        <v>1.0622499999999999</v>
      </c>
      <c r="H14" s="199">
        <v>48.46</v>
      </c>
      <c r="I14" s="200">
        <v>0.56123999999999996</v>
      </c>
      <c r="J14" s="201">
        <v>1.444E-2</v>
      </c>
      <c r="K14" s="199">
        <v>49.07</v>
      </c>
      <c r="L14" s="200">
        <v>0.91549999999999998</v>
      </c>
      <c r="M14" s="201">
        <v>1.426E-2</v>
      </c>
      <c r="N14" s="199">
        <v>48.89</v>
      </c>
      <c r="O14" s="200">
        <v>1.1083000000000001</v>
      </c>
      <c r="P14" s="201">
        <v>1.4319999999999999E-2</v>
      </c>
      <c r="R14" s="205">
        <f t="shared" si="0"/>
        <v>48.877500000000005</v>
      </c>
    </row>
    <row r="15" spans="1:18" ht="13.95" customHeight="1">
      <c r="A15" s="202">
        <v>2.2999999999999998</v>
      </c>
      <c r="B15" s="199">
        <v>49.08</v>
      </c>
      <c r="C15" s="200">
        <v>0.23075499999999999</v>
      </c>
      <c r="D15" s="201">
        <v>0.21465000000000001</v>
      </c>
      <c r="E15" s="199">
        <v>49.09</v>
      </c>
      <c r="F15" s="200">
        <v>0.69486499999999995</v>
      </c>
      <c r="G15" s="201">
        <v>1.0622549999999999</v>
      </c>
      <c r="H15" s="199">
        <v>48.46</v>
      </c>
      <c r="I15" s="200">
        <v>0.56145500000000004</v>
      </c>
      <c r="J15" s="201">
        <v>1.4445E-2</v>
      </c>
      <c r="K15" s="199">
        <v>49.07</v>
      </c>
      <c r="L15" s="200">
        <v>0.91607000000000005</v>
      </c>
      <c r="M15" s="201">
        <v>1.426E-2</v>
      </c>
      <c r="N15" s="199">
        <v>48.89</v>
      </c>
      <c r="O15" s="200">
        <v>1.1090599999999999</v>
      </c>
      <c r="P15" s="201">
        <v>1.4319999999999999E-2</v>
      </c>
      <c r="R15" s="205">
        <f t="shared" si="0"/>
        <v>48.877500000000005</v>
      </c>
    </row>
    <row r="16" spans="1:18" ht="13.95" customHeight="1">
      <c r="A16" s="202">
        <v>2.4</v>
      </c>
      <c r="B16" s="199">
        <v>49.08</v>
      </c>
      <c r="C16" s="200">
        <v>0.23080999999999999</v>
      </c>
      <c r="D16" s="201">
        <v>0.21465000000000001</v>
      </c>
      <c r="E16" s="199">
        <v>49.09</v>
      </c>
      <c r="F16" s="200">
        <v>0.69525999999999999</v>
      </c>
      <c r="G16" s="201">
        <v>1.06226</v>
      </c>
      <c r="H16" s="199">
        <v>48.46</v>
      </c>
      <c r="I16" s="200">
        <v>0.56167</v>
      </c>
      <c r="J16" s="201">
        <v>1.4449999999999999E-2</v>
      </c>
      <c r="K16" s="199">
        <v>49.07</v>
      </c>
      <c r="L16" s="200">
        <v>0.91664000000000001</v>
      </c>
      <c r="M16" s="201">
        <v>1.426E-2</v>
      </c>
      <c r="N16" s="199">
        <v>48.89</v>
      </c>
      <c r="O16" s="200">
        <v>1.10982</v>
      </c>
      <c r="P16" s="201">
        <v>1.4319999999999999E-2</v>
      </c>
      <c r="R16" s="205">
        <f t="shared" si="0"/>
        <v>48.877500000000005</v>
      </c>
    </row>
    <row r="17" spans="1:18" ht="13.95" customHeight="1">
      <c r="A17" s="202">
        <v>2.5</v>
      </c>
      <c r="B17" s="199">
        <v>49.08</v>
      </c>
      <c r="C17" s="200">
        <v>0.23089000000000001</v>
      </c>
      <c r="D17" s="201">
        <v>0.21465000000000001</v>
      </c>
      <c r="E17" s="199">
        <v>49.09</v>
      </c>
      <c r="F17" s="200">
        <v>0.69589500000000004</v>
      </c>
      <c r="G17" s="201">
        <v>1.06226</v>
      </c>
      <c r="H17" s="199">
        <v>48.454999999999998</v>
      </c>
      <c r="I17" s="200">
        <v>0.561975</v>
      </c>
      <c r="J17" s="201">
        <v>1.4449999999999999E-2</v>
      </c>
      <c r="K17" s="199">
        <v>49.07</v>
      </c>
      <c r="L17" s="200">
        <v>0.91736499999999999</v>
      </c>
      <c r="M17" s="201">
        <v>1.4265E-2</v>
      </c>
      <c r="N17" s="199">
        <v>48.89</v>
      </c>
      <c r="O17" s="200">
        <v>1.11077</v>
      </c>
      <c r="P17" s="201">
        <v>1.4319999999999999E-2</v>
      </c>
      <c r="R17" s="205">
        <f t="shared" si="0"/>
        <v>48.876250000000006</v>
      </c>
    </row>
    <row r="18" spans="1:18" ht="13.95" customHeight="1">
      <c r="A18" s="202">
        <v>2.6</v>
      </c>
      <c r="B18" s="199">
        <v>49.08</v>
      </c>
      <c r="C18" s="200">
        <v>0.23097000000000001</v>
      </c>
      <c r="D18" s="201">
        <v>0.21465000000000001</v>
      </c>
      <c r="E18" s="199">
        <v>49.09</v>
      </c>
      <c r="F18" s="200">
        <v>0.69652999999999998</v>
      </c>
      <c r="G18" s="201">
        <v>1.06226</v>
      </c>
      <c r="H18" s="199">
        <v>48.45</v>
      </c>
      <c r="I18" s="200">
        <v>0.56228</v>
      </c>
      <c r="J18" s="201">
        <v>1.4449999999999999E-2</v>
      </c>
      <c r="K18" s="199">
        <v>49.07</v>
      </c>
      <c r="L18" s="200">
        <v>0.91808999999999996</v>
      </c>
      <c r="M18" s="201">
        <v>1.427E-2</v>
      </c>
      <c r="N18" s="199">
        <v>48.89</v>
      </c>
      <c r="O18" s="200">
        <v>1.11172</v>
      </c>
      <c r="P18" s="201">
        <v>1.4319999999999999E-2</v>
      </c>
      <c r="R18" s="205">
        <f t="shared" si="0"/>
        <v>48.875000000000007</v>
      </c>
    </row>
    <row r="19" spans="1:18" ht="13.95" customHeight="1">
      <c r="A19" s="202">
        <v>2.7</v>
      </c>
      <c r="B19" s="199">
        <v>49.08</v>
      </c>
      <c r="C19" s="200">
        <v>0.23109499999999999</v>
      </c>
      <c r="D19" s="201">
        <v>0.21465000000000001</v>
      </c>
      <c r="E19" s="199">
        <v>49.09</v>
      </c>
      <c r="F19" s="200">
        <v>0.69776000000000005</v>
      </c>
      <c r="G19" s="201">
        <v>1.06226</v>
      </c>
      <c r="H19" s="199">
        <v>48.45</v>
      </c>
      <c r="I19" s="200">
        <v>0.562805</v>
      </c>
      <c r="J19" s="201">
        <v>1.4449999999999999E-2</v>
      </c>
      <c r="K19" s="199">
        <v>49.07</v>
      </c>
      <c r="L19" s="200">
        <v>0.91920000000000002</v>
      </c>
      <c r="M19" s="201">
        <v>1.427E-2</v>
      </c>
      <c r="N19" s="199">
        <v>48.884999999999998</v>
      </c>
      <c r="O19" s="200">
        <v>1.1131150000000001</v>
      </c>
      <c r="P19" s="201">
        <v>1.4319999999999999E-2</v>
      </c>
      <c r="R19" s="205">
        <f t="shared" si="0"/>
        <v>48.873750000000001</v>
      </c>
    </row>
    <row r="20" spans="1:18" ht="13.95" customHeight="1">
      <c r="A20" s="202">
        <v>2.8</v>
      </c>
      <c r="B20" s="199">
        <v>49.08</v>
      </c>
      <c r="C20" s="200">
        <v>0.23122000000000001</v>
      </c>
      <c r="D20" s="201">
        <v>0.21465000000000001</v>
      </c>
      <c r="E20" s="199">
        <v>49.09</v>
      </c>
      <c r="F20" s="200">
        <v>0.69899</v>
      </c>
      <c r="G20" s="201">
        <v>1.06226</v>
      </c>
      <c r="H20" s="199">
        <v>48.45</v>
      </c>
      <c r="I20" s="200">
        <v>0.56333</v>
      </c>
      <c r="J20" s="201">
        <v>1.4449999999999999E-2</v>
      </c>
      <c r="K20" s="199">
        <v>49.07</v>
      </c>
      <c r="L20" s="200">
        <v>0.92030999999999996</v>
      </c>
      <c r="M20" s="201">
        <v>1.427E-2</v>
      </c>
      <c r="N20" s="199">
        <v>48.88</v>
      </c>
      <c r="O20" s="200">
        <v>1.1145099999999999</v>
      </c>
      <c r="P20" s="201">
        <v>1.4319999999999999E-2</v>
      </c>
      <c r="R20" s="205">
        <f t="shared" si="0"/>
        <v>48.872500000000002</v>
      </c>
    </row>
    <row r="21" spans="1:18" ht="13.95" customHeight="1">
      <c r="A21" s="202">
        <v>2.9</v>
      </c>
      <c r="B21" s="199">
        <v>49.08</v>
      </c>
      <c r="C21" s="200">
        <v>0.23145499999999999</v>
      </c>
      <c r="D21" s="201">
        <v>0.21465000000000001</v>
      </c>
      <c r="E21" s="199">
        <v>49.09</v>
      </c>
      <c r="F21" s="200">
        <v>0.70152499999999995</v>
      </c>
      <c r="G21" s="201">
        <v>1.06226</v>
      </c>
      <c r="H21" s="199">
        <v>48.445</v>
      </c>
      <c r="I21" s="200">
        <v>0.56433500000000003</v>
      </c>
      <c r="J21" s="201">
        <v>1.4449999999999999E-2</v>
      </c>
      <c r="K21" s="199">
        <v>49.07</v>
      </c>
      <c r="L21" s="200">
        <v>0.92227499999999996</v>
      </c>
      <c r="M21" s="201">
        <v>1.427E-2</v>
      </c>
      <c r="N21" s="199">
        <v>48.88</v>
      </c>
      <c r="O21" s="200">
        <v>1.116905</v>
      </c>
      <c r="P21" s="201">
        <v>1.4319999999999999E-2</v>
      </c>
      <c r="R21" s="205">
        <f t="shared" si="0"/>
        <v>48.871250000000003</v>
      </c>
    </row>
    <row r="22" spans="1:18" ht="13.95" customHeight="1">
      <c r="A22" s="202">
        <v>3</v>
      </c>
      <c r="B22" s="199">
        <v>49.08</v>
      </c>
      <c r="C22" s="200">
        <v>0.23169000000000001</v>
      </c>
      <c r="D22" s="201">
        <v>0.21465000000000001</v>
      </c>
      <c r="E22" s="199">
        <v>49.09</v>
      </c>
      <c r="F22" s="200">
        <v>0.70406000000000002</v>
      </c>
      <c r="G22" s="201">
        <v>1.06226</v>
      </c>
      <c r="H22" s="199">
        <v>48.44</v>
      </c>
      <c r="I22" s="200">
        <v>0.56533999999999995</v>
      </c>
      <c r="J22" s="201">
        <v>1.4449999999999999E-2</v>
      </c>
      <c r="K22" s="199">
        <v>49.07</v>
      </c>
      <c r="L22" s="200">
        <v>0.92423999999999995</v>
      </c>
      <c r="M22" s="201">
        <v>1.427E-2</v>
      </c>
      <c r="N22" s="199">
        <v>48.88</v>
      </c>
      <c r="O22" s="200">
        <v>1.1193</v>
      </c>
      <c r="P22" s="201">
        <v>1.4319999999999999E-2</v>
      </c>
      <c r="R22" s="205">
        <f t="shared" si="0"/>
        <v>48.87</v>
      </c>
    </row>
    <row r="23" spans="1:18" ht="13.95" customHeight="1">
      <c r="A23" s="202">
        <v>3.1</v>
      </c>
      <c r="B23" s="199">
        <v>49.08</v>
      </c>
      <c r="C23" s="200">
        <v>0.23214000000000001</v>
      </c>
      <c r="D23" s="201">
        <v>0.21465000000000001</v>
      </c>
      <c r="E23" s="199">
        <v>49.09</v>
      </c>
      <c r="F23" s="200">
        <v>0.70922499999999999</v>
      </c>
      <c r="G23" s="201">
        <v>1.062265</v>
      </c>
      <c r="H23" s="199">
        <v>48.44</v>
      </c>
      <c r="I23" s="200">
        <v>0.56732499999999997</v>
      </c>
      <c r="J23" s="201">
        <v>1.4449999999999999E-2</v>
      </c>
      <c r="K23" s="199">
        <v>49.07</v>
      </c>
      <c r="L23" s="200">
        <v>0.92791000000000001</v>
      </c>
      <c r="M23" s="201">
        <v>1.427E-2</v>
      </c>
      <c r="N23" s="199">
        <v>48.88</v>
      </c>
      <c r="O23" s="200">
        <v>1.1236999999999999</v>
      </c>
      <c r="P23" s="201">
        <v>1.4319999999999999E-2</v>
      </c>
      <c r="R23" s="205">
        <f t="shared" si="0"/>
        <v>48.87</v>
      </c>
    </row>
    <row r="24" spans="1:18" ht="13.95" customHeight="1">
      <c r="A24" s="202">
        <v>3.2</v>
      </c>
      <c r="B24" s="199">
        <v>49.08</v>
      </c>
      <c r="C24" s="200">
        <v>0.23258999999999999</v>
      </c>
      <c r="D24" s="201">
        <v>0.21465000000000001</v>
      </c>
      <c r="E24" s="199">
        <v>49.09</v>
      </c>
      <c r="F24" s="200">
        <v>0.71438999999999997</v>
      </c>
      <c r="G24" s="201">
        <v>1.06227</v>
      </c>
      <c r="H24" s="199">
        <v>48.44</v>
      </c>
      <c r="I24" s="200">
        <v>0.56930999999999998</v>
      </c>
      <c r="J24" s="201">
        <v>1.4449999999999999E-2</v>
      </c>
      <c r="K24" s="199">
        <v>49.07</v>
      </c>
      <c r="L24" s="200">
        <v>0.93157999999999996</v>
      </c>
      <c r="M24" s="201">
        <v>1.427E-2</v>
      </c>
      <c r="N24" s="199">
        <v>48.88</v>
      </c>
      <c r="O24" s="200">
        <v>1.1281000000000001</v>
      </c>
      <c r="P24" s="201">
        <v>1.4319999999999999E-2</v>
      </c>
      <c r="R24" s="205">
        <f t="shared" si="0"/>
        <v>48.87</v>
      </c>
    </row>
    <row r="25" spans="1:18" ht="13.95" customHeight="1">
      <c r="A25" s="202">
        <v>3.3</v>
      </c>
      <c r="B25" s="199">
        <v>49.08</v>
      </c>
      <c r="C25" s="200">
        <v>0.23313500000000001</v>
      </c>
      <c r="D25" s="201">
        <v>0.21465500000000001</v>
      </c>
      <c r="E25" s="199">
        <v>49.09</v>
      </c>
      <c r="F25" s="200">
        <v>0.72062499999999996</v>
      </c>
      <c r="G25" s="201">
        <v>1.06227</v>
      </c>
      <c r="H25" s="199">
        <v>48.435000000000002</v>
      </c>
      <c r="I25" s="200">
        <v>0.57169499999999995</v>
      </c>
      <c r="J25" s="201">
        <v>1.4449999999999999E-2</v>
      </c>
      <c r="K25" s="199">
        <v>49.07</v>
      </c>
      <c r="L25" s="200">
        <v>0.93595499999999998</v>
      </c>
      <c r="M25" s="201">
        <v>1.427E-2</v>
      </c>
      <c r="N25" s="199">
        <v>48.88</v>
      </c>
      <c r="O25" s="200">
        <v>1.1333249999999999</v>
      </c>
      <c r="P25" s="201">
        <v>1.4319999999999999E-2</v>
      </c>
      <c r="R25" s="205">
        <f t="shared" si="0"/>
        <v>48.868749999999999</v>
      </c>
    </row>
    <row r="26" spans="1:18" ht="13.95" customHeight="1">
      <c r="A26" s="202">
        <v>3.4</v>
      </c>
      <c r="B26" s="199">
        <v>49.08</v>
      </c>
      <c r="C26" s="200">
        <v>0.23368</v>
      </c>
      <c r="D26" s="201">
        <v>0.21465999999999999</v>
      </c>
      <c r="E26" s="199">
        <v>49.09</v>
      </c>
      <c r="F26" s="200">
        <v>0.72685999999999995</v>
      </c>
      <c r="G26" s="201">
        <v>1.06227</v>
      </c>
      <c r="H26" s="199">
        <v>48.43</v>
      </c>
      <c r="I26" s="200">
        <v>0.57408000000000003</v>
      </c>
      <c r="J26" s="201">
        <v>1.4449999999999999E-2</v>
      </c>
      <c r="K26" s="199">
        <v>49.07</v>
      </c>
      <c r="L26" s="200">
        <v>0.94033</v>
      </c>
      <c r="M26" s="201">
        <v>1.427E-2</v>
      </c>
      <c r="N26" s="199">
        <v>48.88</v>
      </c>
      <c r="O26" s="200">
        <v>1.13855</v>
      </c>
      <c r="P26" s="201">
        <v>1.4319999999999999E-2</v>
      </c>
      <c r="R26" s="205">
        <f t="shared" si="0"/>
        <v>48.8675</v>
      </c>
    </row>
    <row r="27" spans="1:18" ht="13.95" customHeight="1">
      <c r="A27" s="202">
        <v>3.5</v>
      </c>
      <c r="B27" s="199">
        <v>49.08</v>
      </c>
      <c r="C27" s="200">
        <v>0.23422499999999999</v>
      </c>
      <c r="D27" s="201">
        <v>0.21465999999999999</v>
      </c>
      <c r="E27" s="199">
        <v>49.09</v>
      </c>
      <c r="F27" s="200">
        <v>0.73306000000000004</v>
      </c>
      <c r="G27" s="201">
        <v>1.0622750000000001</v>
      </c>
      <c r="H27" s="199">
        <v>48.43</v>
      </c>
      <c r="I27" s="200">
        <v>0.57647000000000004</v>
      </c>
      <c r="J27" s="201">
        <v>1.4455000000000001E-2</v>
      </c>
      <c r="K27" s="199">
        <v>49.07</v>
      </c>
      <c r="L27" s="200">
        <v>0.944685</v>
      </c>
      <c r="M27" s="201">
        <v>1.427E-2</v>
      </c>
      <c r="N27" s="199">
        <v>48.875</v>
      </c>
      <c r="O27" s="200">
        <v>1.143745</v>
      </c>
      <c r="P27" s="201">
        <v>1.4319999999999999E-2</v>
      </c>
      <c r="R27" s="205">
        <f t="shared" si="0"/>
        <v>48.866250000000001</v>
      </c>
    </row>
    <row r="28" spans="1:18" ht="13.95" customHeight="1">
      <c r="A28" s="202">
        <v>3.6</v>
      </c>
      <c r="B28" s="199">
        <v>49.08</v>
      </c>
      <c r="C28" s="200">
        <v>0.23477000000000001</v>
      </c>
      <c r="D28" s="201">
        <v>0.21465999999999999</v>
      </c>
      <c r="E28" s="199">
        <v>49.09</v>
      </c>
      <c r="F28" s="200">
        <v>0.73926000000000003</v>
      </c>
      <c r="G28" s="201">
        <v>1.0622799999999999</v>
      </c>
      <c r="H28" s="199">
        <v>48.43</v>
      </c>
      <c r="I28" s="200">
        <v>0.57886000000000004</v>
      </c>
      <c r="J28" s="201">
        <v>1.4460000000000001E-2</v>
      </c>
      <c r="K28" s="199">
        <v>49.07</v>
      </c>
      <c r="L28" s="200">
        <v>0.94903999999999999</v>
      </c>
      <c r="M28" s="201">
        <v>1.427E-2</v>
      </c>
      <c r="N28" s="199">
        <v>48.87</v>
      </c>
      <c r="O28" s="200">
        <v>1.1489400000000001</v>
      </c>
      <c r="P28" s="201">
        <v>1.4319999999999999E-2</v>
      </c>
      <c r="R28" s="205">
        <f t="shared" si="0"/>
        <v>48.865000000000002</v>
      </c>
    </row>
    <row r="29" spans="1:18" ht="13.95" customHeight="1">
      <c r="A29" s="202">
        <v>3.7</v>
      </c>
      <c r="B29" s="199">
        <v>49.08</v>
      </c>
      <c r="C29" s="200">
        <v>0.23530999999999999</v>
      </c>
      <c r="D29" s="201">
        <v>0.21465999999999999</v>
      </c>
      <c r="E29" s="199">
        <v>49.09</v>
      </c>
      <c r="F29" s="200">
        <v>0.745475</v>
      </c>
      <c r="G29" s="201">
        <v>1.0622799999999999</v>
      </c>
      <c r="H29" s="199">
        <v>48.424999999999997</v>
      </c>
      <c r="I29" s="200">
        <v>0.58124500000000001</v>
      </c>
      <c r="J29" s="201">
        <v>1.4460000000000001E-2</v>
      </c>
      <c r="K29" s="199">
        <v>49.07</v>
      </c>
      <c r="L29" s="200">
        <v>0.95336500000000002</v>
      </c>
      <c r="M29" s="201">
        <v>1.427E-2</v>
      </c>
      <c r="N29" s="199">
        <v>48.87</v>
      </c>
      <c r="O29" s="200">
        <v>1.1540950000000001</v>
      </c>
      <c r="P29" s="201">
        <v>1.4319999999999999E-2</v>
      </c>
      <c r="R29" s="205">
        <f t="shared" si="0"/>
        <v>48.863750000000003</v>
      </c>
    </row>
    <row r="30" spans="1:18" ht="13.95" customHeight="1">
      <c r="A30" s="202">
        <v>3.8</v>
      </c>
      <c r="B30" s="199">
        <v>49.08</v>
      </c>
      <c r="C30" s="200">
        <v>0.23585</v>
      </c>
      <c r="D30" s="201">
        <v>0.21465999999999999</v>
      </c>
      <c r="E30" s="199">
        <v>49.09</v>
      </c>
      <c r="F30" s="200">
        <v>0.75168999999999997</v>
      </c>
      <c r="G30" s="201">
        <v>1.0622799999999999</v>
      </c>
      <c r="H30" s="199">
        <v>48.42</v>
      </c>
      <c r="I30" s="200">
        <v>0.58362999999999998</v>
      </c>
      <c r="J30" s="201">
        <v>1.4460000000000001E-2</v>
      </c>
      <c r="K30" s="199">
        <v>49.07</v>
      </c>
      <c r="L30" s="200">
        <v>0.95769000000000004</v>
      </c>
      <c r="M30" s="201">
        <v>1.427E-2</v>
      </c>
      <c r="N30" s="199">
        <v>48.87</v>
      </c>
      <c r="O30" s="200">
        <v>1.1592499999999999</v>
      </c>
      <c r="P30" s="201">
        <v>1.4319999999999999E-2</v>
      </c>
      <c r="R30" s="205">
        <f t="shared" si="0"/>
        <v>48.862500000000004</v>
      </c>
    </row>
    <row r="31" spans="1:18" ht="13.95" customHeight="1">
      <c r="A31" s="202">
        <v>3.9</v>
      </c>
      <c r="B31" s="199">
        <v>49.08</v>
      </c>
      <c r="C31" s="200">
        <v>0.23638999999999999</v>
      </c>
      <c r="D31" s="201">
        <v>0.21466499999999999</v>
      </c>
      <c r="E31" s="199">
        <v>49.09</v>
      </c>
      <c r="F31" s="200">
        <v>0.75782499999999997</v>
      </c>
      <c r="G31" s="201">
        <v>1.0622849999999999</v>
      </c>
      <c r="H31" s="199">
        <v>48.414999999999999</v>
      </c>
      <c r="I31" s="200">
        <v>0.58601499999999995</v>
      </c>
      <c r="J31" s="201">
        <v>1.4460000000000001E-2</v>
      </c>
      <c r="K31" s="199">
        <v>49.07</v>
      </c>
      <c r="L31" s="200">
        <v>0.96198499999999998</v>
      </c>
      <c r="M31" s="201">
        <v>1.427E-2</v>
      </c>
      <c r="N31" s="199">
        <v>48.87</v>
      </c>
      <c r="O31" s="200">
        <v>1.164355</v>
      </c>
      <c r="P31" s="201">
        <v>1.4324999999999999E-2</v>
      </c>
      <c r="R31" s="205">
        <f t="shared" si="0"/>
        <v>48.861249999999998</v>
      </c>
    </row>
    <row r="32" spans="1:18" ht="14.4" customHeight="1" thickBot="1">
      <c r="A32" s="207">
        <v>4</v>
      </c>
      <c r="B32" s="208">
        <v>49.08</v>
      </c>
      <c r="C32" s="209">
        <v>0.23693</v>
      </c>
      <c r="D32" s="210">
        <v>0.21467</v>
      </c>
      <c r="E32" s="208">
        <v>49.09</v>
      </c>
      <c r="F32" s="209">
        <v>0.76395999999999997</v>
      </c>
      <c r="G32" s="210">
        <v>1.06229</v>
      </c>
      <c r="H32" s="208">
        <v>48.41</v>
      </c>
      <c r="I32" s="209">
        <v>0.58840000000000003</v>
      </c>
      <c r="J32" s="210">
        <v>1.4460000000000001E-2</v>
      </c>
      <c r="K32" s="208">
        <v>49.07</v>
      </c>
      <c r="L32" s="209">
        <v>0.96628000000000003</v>
      </c>
      <c r="M32" s="210">
        <v>1.427E-2</v>
      </c>
      <c r="N32" s="208">
        <v>48.87</v>
      </c>
      <c r="O32" s="209">
        <v>1.1694599999999999</v>
      </c>
      <c r="P32" s="210">
        <v>1.4330000000000001E-2</v>
      </c>
      <c r="R32" s="206">
        <f t="shared" si="0"/>
        <v>48.86</v>
      </c>
    </row>
    <row r="38" spans="3:3">
      <c r="C38" s="203"/>
    </row>
    <row r="39" spans="3:3">
      <c r="C39" s="203"/>
    </row>
    <row r="40" spans="3:3">
      <c r="C40" s="203"/>
    </row>
    <row r="41" spans="3:3">
      <c r="C41" s="203"/>
    </row>
    <row r="42" spans="3:3">
      <c r="C42" s="203"/>
    </row>
    <row r="43" spans="3:3">
      <c r="C43" s="203"/>
    </row>
    <row r="44" spans="3:3">
      <c r="C44" s="203"/>
    </row>
    <row r="45" spans="3:3">
      <c r="C45" s="203"/>
    </row>
    <row r="46" spans="3:3">
      <c r="C46" s="203"/>
    </row>
    <row r="47" spans="3:3">
      <c r="C47" s="203"/>
    </row>
    <row r="48" spans="3:3">
      <c r="C48" s="203"/>
    </row>
    <row r="49" spans="3:3">
      <c r="C49" s="203"/>
    </row>
    <row r="50" spans="3:3">
      <c r="C50" s="203"/>
    </row>
    <row r="51" spans="3:3">
      <c r="C51" s="203"/>
    </row>
    <row r="52" spans="3:3">
      <c r="C52" s="203"/>
    </row>
    <row r="53" spans="3:3">
      <c r="C53" s="203"/>
    </row>
    <row r="54" spans="3:3">
      <c r="C54" s="203"/>
    </row>
    <row r="55" spans="3:3">
      <c r="C55" s="203"/>
    </row>
    <row r="56" spans="3:3">
      <c r="C56" s="203"/>
    </row>
    <row r="57" spans="3:3">
      <c r="C57" s="203"/>
    </row>
    <row r="58" spans="3:3">
      <c r="C58" s="203"/>
    </row>
    <row r="59" spans="3:3">
      <c r="C59" s="203"/>
    </row>
    <row r="60" spans="3:3">
      <c r="C60" s="203"/>
    </row>
    <row r="61" spans="3:3">
      <c r="C61" s="203"/>
    </row>
    <row r="62" spans="3:3">
      <c r="C62" s="203"/>
    </row>
    <row r="63" spans="3:3">
      <c r="C63" s="203"/>
    </row>
    <row r="64" spans="3:3">
      <c r="C64" s="203"/>
    </row>
    <row r="65" spans="3:3">
      <c r="C65" s="203"/>
    </row>
    <row r="66" spans="3:3">
      <c r="C66" s="203"/>
    </row>
    <row r="67" spans="3:3">
      <c r="C67" s="203"/>
    </row>
    <row r="68" spans="3:3">
      <c r="C68" s="203"/>
    </row>
    <row r="69" spans="3:3">
      <c r="C69" s="203"/>
    </row>
    <row r="70" spans="3:3">
      <c r="C70" s="203"/>
    </row>
    <row r="71" spans="3:3">
      <c r="C71" s="203"/>
    </row>
    <row r="72" spans="3:3">
      <c r="C72" s="203"/>
    </row>
    <row r="73" spans="3:3">
      <c r="C73" s="203"/>
    </row>
    <row r="74" spans="3:3">
      <c r="C74" s="203"/>
    </row>
    <row r="75" spans="3:3">
      <c r="C75" s="203"/>
    </row>
    <row r="76" spans="3:3">
      <c r="C76" s="203"/>
    </row>
    <row r="77" spans="3:3">
      <c r="C77" s="203"/>
    </row>
    <row r="78" spans="3:3">
      <c r="C78" s="203"/>
    </row>
    <row r="79" spans="3:3">
      <c r="C79" s="203"/>
    </row>
    <row r="80" spans="3:3">
      <c r="C80" s="203"/>
    </row>
    <row r="81" spans="3:3">
      <c r="C81" s="203"/>
    </row>
    <row r="82" spans="3:3">
      <c r="C82" s="203"/>
    </row>
    <row r="83" spans="3:3">
      <c r="C83" s="203"/>
    </row>
    <row r="84" spans="3:3">
      <c r="C84" s="203"/>
    </row>
    <row r="85" spans="3:3">
      <c r="C85" s="203"/>
    </row>
    <row r="86" spans="3:3">
      <c r="C86" s="203"/>
    </row>
    <row r="87" spans="3:3">
      <c r="C87" s="203"/>
    </row>
    <row r="88" spans="3:3">
      <c r="C88" s="203"/>
    </row>
    <row r="89" spans="3:3">
      <c r="C89" s="203"/>
    </row>
    <row r="90" spans="3:3">
      <c r="C90" s="203"/>
    </row>
    <row r="91" spans="3:3">
      <c r="C91" s="203"/>
    </row>
    <row r="92" spans="3:3">
      <c r="C92" s="203"/>
    </row>
    <row r="93" spans="3:3">
      <c r="C93" s="203"/>
    </row>
    <row r="94" spans="3:3">
      <c r="C94" s="203"/>
    </row>
    <row r="95" spans="3:3">
      <c r="C95" s="203"/>
    </row>
    <row r="96" spans="3:3">
      <c r="C96" s="203"/>
    </row>
    <row r="97" spans="3:3">
      <c r="C97" s="203"/>
    </row>
    <row r="98" spans="3:3">
      <c r="C98" s="203"/>
    </row>
    <row r="99" spans="3:3">
      <c r="C99" s="203"/>
    </row>
    <row r="100" spans="3:3">
      <c r="C100" s="203"/>
    </row>
  </sheetData>
  <mergeCells count="7">
    <mergeCell ref="A4:P4"/>
    <mergeCell ref="A6:A7"/>
    <mergeCell ref="B6:D6"/>
    <mergeCell ref="E6:G6"/>
    <mergeCell ref="H6:J6"/>
    <mergeCell ref="K6:M6"/>
    <mergeCell ref="N6:P6"/>
  </mergeCells>
  <pageMargins left="0.16525712063769804" right="0.17081198183560387" top="0.16525712063769804" bottom="0.1694232665361274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ySplit="4" topLeftCell="A8" activePane="bottomLeft" state="frozen"/>
      <selection activeCell="C51" sqref="C51"/>
      <selection pane="bottomLeft" activeCell="P29" sqref="P29"/>
    </sheetView>
  </sheetViews>
  <sheetFormatPr baseColWidth="10" defaultColWidth="11.44140625" defaultRowHeight="13.8"/>
  <cols>
    <col min="1" max="16" width="10.6640625" style="211" customWidth="1"/>
    <col min="17" max="16384" width="11.44140625" style="211"/>
  </cols>
  <sheetData>
    <row r="1" spans="1:18" ht="15.6">
      <c r="A1" s="294" t="s">
        <v>120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1:18" ht="14.4" thickBot="1"/>
    <row r="3" spans="1:18" ht="15" thickBot="1">
      <c r="A3" s="295" t="s">
        <v>57</v>
      </c>
      <c r="B3" s="297" t="s">
        <v>63</v>
      </c>
      <c r="C3" s="298"/>
      <c r="D3" s="299"/>
      <c r="E3" s="297" t="s">
        <v>64</v>
      </c>
      <c r="F3" s="298"/>
      <c r="G3" s="299"/>
      <c r="H3" s="297" t="s">
        <v>88</v>
      </c>
      <c r="I3" s="298"/>
      <c r="J3" s="299"/>
      <c r="K3" s="297" t="s">
        <v>89</v>
      </c>
      <c r="L3" s="298"/>
      <c r="M3" s="299"/>
      <c r="N3" s="297" t="s">
        <v>67</v>
      </c>
      <c r="O3" s="298"/>
      <c r="P3" s="299"/>
    </row>
    <row r="4" spans="1:18" ht="15" thickBot="1">
      <c r="A4" s="296" t="s">
        <v>57</v>
      </c>
      <c r="B4" s="195" t="s">
        <v>90</v>
      </c>
      <c r="C4" s="196" t="s">
        <v>91</v>
      </c>
      <c r="D4" s="197" t="s">
        <v>92</v>
      </c>
      <c r="E4" s="195" t="s">
        <v>90</v>
      </c>
      <c r="F4" s="196" t="s">
        <v>91</v>
      </c>
      <c r="G4" s="197" t="s">
        <v>92</v>
      </c>
      <c r="H4" s="195" t="s">
        <v>90</v>
      </c>
      <c r="I4" s="196" t="s">
        <v>91</v>
      </c>
      <c r="J4" s="197" t="s">
        <v>92</v>
      </c>
      <c r="K4" s="195" t="s">
        <v>90</v>
      </c>
      <c r="L4" s="196" t="s">
        <v>91</v>
      </c>
      <c r="M4" s="197" t="s">
        <v>92</v>
      </c>
      <c r="N4" s="195" t="s">
        <v>90</v>
      </c>
      <c r="O4" s="196" t="s">
        <v>91</v>
      </c>
      <c r="P4" s="197" t="s">
        <v>92</v>
      </c>
      <c r="R4" s="204" t="s">
        <v>90</v>
      </c>
    </row>
    <row r="5" spans="1:18" ht="13.95" customHeight="1">
      <c r="A5" s="198">
        <v>1.6</v>
      </c>
      <c r="B5" s="199">
        <v>58.82</v>
      </c>
      <c r="C5" s="200">
        <v>0.22133</v>
      </c>
      <c r="D5" s="201">
        <v>0.17910999999999999</v>
      </c>
      <c r="E5" s="199">
        <v>58.84</v>
      </c>
      <c r="F5" s="200">
        <v>0.68239000000000005</v>
      </c>
      <c r="G5" s="201">
        <v>0.88631000000000004</v>
      </c>
      <c r="H5" s="199">
        <v>56.91</v>
      </c>
      <c r="I5" s="200">
        <v>0.54925999999999997</v>
      </c>
      <c r="J5" s="201">
        <v>1.23E-2</v>
      </c>
      <c r="K5" s="199">
        <v>58.71</v>
      </c>
      <c r="L5" s="200">
        <v>0.90273999999999999</v>
      </c>
      <c r="M5" s="201">
        <v>1.192E-2</v>
      </c>
      <c r="N5" s="199">
        <v>57.79</v>
      </c>
      <c r="O5" s="200">
        <v>1.0989</v>
      </c>
      <c r="P5" s="201">
        <v>1.2109999999999999E-2</v>
      </c>
      <c r="R5" s="205">
        <f>+AVERAGE(N5,K5,H5,E5)</f>
        <v>58.0625</v>
      </c>
    </row>
    <row r="6" spans="1:18" ht="13.95" customHeight="1">
      <c r="A6" s="202">
        <v>1.7000000000000002</v>
      </c>
      <c r="B6" s="199">
        <v>58.82</v>
      </c>
      <c r="C6" s="200">
        <v>0.22137499999999999</v>
      </c>
      <c r="D6" s="201">
        <v>0.17910999999999999</v>
      </c>
      <c r="E6" s="199">
        <v>58.84</v>
      </c>
      <c r="F6" s="200">
        <v>0.68274999999999997</v>
      </c>
      <c r="G6" s="201">
        <v>0.88631499999999996</v>
      </c>
      <c r="H6" s="199">
        <v>56.905000000000001</v>
      </c>
      <c r="I6" s="200">
        <v>0.54942500000000005</v>
      </c>
      <c r="J6" s="201">
        <v>1.23E-2</v>
      </c>
      <c r="K6" s="199">
        <v>58.71</v>
      </c>
      <c r="L6" s="200">
        <v>0.90322499999999994</v>
      </c>
      <c r="M6" s="201">
        <v>1.192E-2</v>
      </c>
      <c r="N6" s="199">
        <v>57.78</v>
      </c>
      <c r="O6" s="200">
        <v>1.09955</v>
      </c>
      <c r="P6" s="201">
        <v>1.2115000000000001E-2</v>
      </c>
      <c r="R6" s="205">
        <f t="shared" ref="R6:R29" si="0">+AVERAGE(N6,K6,H6,E6)</f>
        <v>58.058750000000003</v>
      </c>
    </row>
    <row r="7" spans="1:18" ht="13.95" customHeight="1">
      <c r="A7" s="202">
        <v>1.8</v>
      </c>
      <c r="B7" s="199">
        <v>58.82</v>
      </c>
      <c r="C7" s="200">
        <v>0.22142000000000001</v>
      </c>
      <c r="D7" s="201">
        <v>0.17910999999999999</v>
      </c>
      <c r="E7" s="199">
        <v>58.84</v>
      </c>
      <c r="F7" s="200">
        <v>0.68310999999999999</v>
      </c>
      <c r="G7" s="201">
        <v>0.88632</v>
      </c>
      <c r="H7" s="199">
        <v>56.9</v>
      </c>
      <c r="I7" s="200">
        <v>0.54959000000000002</v>
      </c>
      <c r="J7" s="201">
        <v>1.23E-2</v>
      </c>
      <c r="K7" s="199">
        <v>58.71</v>
      </c>
      <c r="L7" s="200">
        <v>0.90371000000000001</v>
      </c>
      <c r="M7" s="201">
        <v>1.192E-2</v>
      </c>
      <c r="N7" s="199">
        <v>57.77</v>
      </c>
      <c r="O7" s="200">
        <v>1.1002000000000001</v>
      </c>
      <c r="P7" s="201">
        <v>1.2120000000000001E-2</v>
      </c>
      <c r="R7" s="205">
        <f t="shared" si="0"/>
        <v>58.055</v>
      </c>
    </row>
    <row r="8" spans="1:18" ht="13.95" customHeight="1">
      <c r="A8" s="202">
        <v>1.9</v>
      </c>
      <c r="B8" s="199">
        <v>58.82</v>
      </c>
      <c r="C8" s="200">
        <v>0.22147</v>
      </c>
      <c r="D8" s="201">
        <v>0.17910999999999999</v>
      </c>
      <c r="E8" s="199">
        <v>58.84</v>
      </c>
      <c r="F8" s="200">
        <v>0.68347999999999998</v>
      </c>
      <c r="G8" s="201">
        <v>0.88632500000000003</v>
      </c>
      <c r="H8" s="199">
        <v>56.89</v>
      </c>
      <c r="I8" s="200">
        <v>0.54976000000000003</v>
      </c>
      <c r="J8" s="201">
        <v>1.2305E-2</v>
      </c>
      <c r="K8" s="199">
        <v>58.71</v>
      </c>
      <c r="L8" s="200">
        <v>0.9042</v>
      </c>
      <c r="M8" s="201">
        <v>1.192E-2</v>
      </c>
      <c r="N8" s="199">
        <v>57.765000000000001</v>
      </c>
      <c r="O8" s="200">
        <v>1.100865</v>
      </c>
      <c r="P8" s="201">
        <v>1.2120000000000001E-2</v>
      </c>
      <c r="R8" s="205">
        <f t="shared" si="0"/>
        <v>58.051250000000003</v>
      </c>
    </row>
    <row r="9" spans="1:18" ht="13.95" customHeight="1">
      <c r="A9" s="202">
        <v>2</v>
      </c>
      <c r="B9" s="199">
        <v>58.82</v>
      </c>
      <c r="C9" s="200">
        <v>0.22151999999999999</v>
      </c>
      <c r="D9" s="201">
        <v>0.17910999999999999</v>
      </c>
      <c r="E9" s="199">
        <v>58.84</v>
      </c>
      <c r="F9" s="200">
        <v>0.68384999999999996</v>
      </c>
      <c r="G9" s="201">
        <v>0.88632999999999995</v>
      </c>
      <c r="H9" s="199">
        <v>56.88</v>
      </c>
      <c r="I9" s="200">
        <v>0.54993000000000003</v>
      </c>
      <c r="J9" s="201">
        <v>1.231E-2</v>
      </c>
      <c r="K9" s="199">
        <v>58.71</v>
      </c>
      <c r="L9" s="200">
        <v>0.90468999999999999</v>
      </c>
      <c r="M9" s="201">
        <v>1.192E-2</v>
      </c>
      <c r="N9" s="199">
        <v>57.76</v>
      </c>
      <c r="O9" s="200">
        <v>1.1015299999999999</v>
      </c>
      <c r="P9" s="201">
        <v>1.2120000000000001E-2</v>
      </c>
      <c r="R9" s="205">
        <f t="shared" si="0"/>
        <v>58.047499999999999</v>
      </c>
    </row>
    <row r="10" spans="1:18" ht="13.95" customHeight="1">
      <c r="A10" s="202">
        <v>2.1</v>
      </c>
      <c r="B10" s="199">
        <v>58.82</v>
      </c>
      <c r="C10" s="200">
        <v>0.22157499999999999</v>
      </c>
      <c r="D10" s="201">
        <v>0.17910999999999999</v>
      </c>
      <c r="E10" s="199">
        <v>58.84</v>
      </c>
      <c r="F10" s="200">
        <v>0.68425499999999995</v>
      </c>
      <c r="G10" s="201">
        <v>0.88633499999999998</v>
      </c>
      <c r="H10" s="199">
        <v>56.875</v>
      </c>
      <c r="I10" s="200">
        <v>0.55011500000000002</v>
      </c>
      <c r="J10" s="201">
        <v>1.231E-2</v>
      </c>
      <c r="K10" s="199">
        <v>58.704999999999998</v>
      </c>
      <c r="L10" s="200">
        <v>0.90520999999999996</v>
      </c>
      <c r="M10" s="201">
        <v>1.192E-2</v>
      </c>
      <c r="N10" s="199">
        <v>57.755000000000003</v>
      </c>
      <c r="O10" s="200">
        <v>1.10222</v>
      </c>
      <c r="P10" s="201">
        <v>1.2120000000000001E-2</v>
      </c>
      <c r="R10" s="205">
        <f t="shared" si="0"/>
        <v>58.043750000000003</v>
      </c>
    </row>
    <row r="11" spans="1:18" ht="13.95" customHeight="1">
      <c r="A11" s="202">
        <v>2.2000000000000002</v>
      </c>
      <c r="B11" s="199">
        <v>58.82</v>
      </c>
      <c r="C11" s="200">
        <v>0.22162999999999999</v>
      </c>
      <c r="D11" s="201">
        <v>0.17910999999999999</v>
      </c>
      <c r="E11" s="199">
        <v>58.84</v>
      </c>
      <c r="F11" s="200">
        <v>0.68466000000000005</v>
      </c>
      <c r="G11" s="201">
        <v>0.88634000000000002</v>
      </c>
      <c r="H11" s="199">
        <v>56.87</v>
      </c>
      <c r="I11" s="200">
        <v>0.55030000000000001</v>
      </c>
      <c r="J11" s="201">
        <v>1.231E-2</v>
      </c>
      <c r="K11" s="199">
        <v>58.7</v>
      </c>
      <c r="L11" s="200">
        <v>0.90573000000000004</v>
      </c>
      <c r="M11" s="201">
        <v>1.192E-2</v>
      </c>
      <c r="N11" s="199">
        <v>57.75</v>
      </c>
      <c r="O11" s="200">
        <v>1.1029100000000001</v>
      </c>
      <c r="P11" s="201">
        <v>1.2120000000000001E-2</v>
      </c>
      <c r="R11" s="205">
        <f t="shared" si="0"/>
        <v>58.04</v>
      </c>
    </row>
    <row r="12" spans="1:18" ht="13.95" customHeight="1">
      <c r="A12" s="202">
        <v>2.2999999999999998</v>
      </c>
      <c r="B12" s="199">
        <v>58.82</v>
      </c>
      <c r="C12" s="200">
        <v>0.22169</v>
      </c>
      <c r="D12" s="201">
        <v>0.179115</v>
      </c>
      <c r="E12" s="199">
        <v>58.84</v>
      </c>
      <c r="F12" s="200">
        <v>0.68515999999999999</v>
      </c>
      <c r="G12" s="201">
        <v>0.88634500000000005</v>
      </c>
      <c r="H12" s="199">
        <v>56.86</v>
      </c>
      <c r="I12" s="200">
        <v>0.55052000000000001</v>
      </c>
      <c r="J12" s="201">
        <v>1.231E-2</v>
      </c>
      <c r="K12" s="199">
        <v>58.7</v>
      </c>
      <c r="L12" s="200">
        <v>0.90631499999999998</v>
      </c>
      <c r="M12" s="201">
        <v>1.192E-2</v>
      </c>
      <c r="N12" s="199">
        <v>57.744999999999997</v>
      </c>
      <c r="O12" s="200">
        <v>1.103675</v>
      </c>
      <c r="P12" s="201">
        <v>1.2120000000000001E-2</v>
      </c>
      <c r="R12" s="205">
        <f t="shared" si="0"/>
        <v>58.036250000000003</v>
      </c>
    </row>
    <row r="13" spans="1:18" ht="13.95" customHeight="1">
      <c r="A13" s="202">
        <v>2.4</v>
      </c>
      <c r="B13" s="199">
        <v>58.82</v>
      </c>
      <c r="C13" s="200">
        <v>0.22175</v>
      </c>
      <c r="D13" s="201">
        <v>0.17912</v>
      </c>
      <c r="E13" s="199">
        <v>58.84</v>
      </c>
      <c r="F13" s="200">
        <v>0.68566000000000005</v>
      </c>
      <c r="G13" s="201">
        <v>0.88634999999999997</v>
      </c>
      <c r="H13" s="199">
        <v>56.85</v>
      </c>
      <c r="I13" s="200">
        <v>0.55074000000000001</v>
      </c>
      <c r="J13" s="201">
        <v>1.231E-2</v>
      </c>
      <c r="K13" s="199">
        <v>58.7</v>
      </c>
      <c r="L13" s="200">
        <v>0.90690000000000004</v>
      </c>
      <c r="M13" s="201">
        <v>1.192E-2</v>
      </c>
      <c r="N13" s="199">
        <v>57.74</v>
      </c>
      <c r="O13" s="200">
        <v>1.1044400000000001</v>
      </c>
      <c r="P13" s="201">
        <v>1.2120000000000001E-2</v>
      </c>
      <c r="R13" s="205">
        <f t="shared" si="0"/>
        <v>58.032499999999999</v>
      </c>
    </row>
    <row r="14" spans="1:18" ht="13.95" customHeight="1">
      <c r="A14" s="202">
        <v>2.5</v>
      </c>
      <c r="B14" s="199">
        <v>58.82</v>
      </c>
      <c r="C14" s="200">
        <v>0.22183</v>
      </c>
      <c r="D14" s="201">
        <v>0.17912</v>
      </c>
      <c r="E14" s="199">
        <v>58.84</v>
      </c>
      <c r="F14" s="200">
        <v>0.68640500000000004</v>
      </c>
      <c r="G14" s="201">
        <v>0.886355</v>
      </c>
      <c r="H14" s="199">
        <v>56.844999999999999</v>
      </c>
      <c r="I14" s="200">
        <v>0.55105000000000004</v>
      </c>
      <c r="J14" s="201">
        <v>1.2315E-2</v>
      </c>
      <c r="K14" s="199">
        <v>58.7</v>
      </c>
      <c r="L14" s="200">
        <v>0.90764</v>
      </c>
      <c r="M14" s="201">
        <v>1.1925E-2</v>
      </c>
      <c r="N14" s="199">
        <v>57.73</v>
      </c>
      <c r="O14" s="200">
        <v>1.1053949999999999</v>
      </c>
      <c r="P14" s="201">
        <v>1.2125E-2</v>
      </c>
      <c r="R14" s="205">
        <f t="shared" si="0"/>
        <v>58.028750000000002</v>
      </c>
    </row>
    <row r="15" spans="1:18" ht="13.95" customHeight="1">
      <c r="A15" s="202">
        <v>2.6</v>
      </c>
      <c r="B15" s="199">
        <v>58.82</v>
      </c>
      <c r="C15" s="200">
        <v>0.22191</v>
      </c>
      <c r="D15" s="201">
        <v>0.17912</v>
      </c>
      <c r="E15" s="199">
        <v>58.84</v>
      </c>
      <c r="F15" s="200">
        <v>0.68715000000000004</v>
      </c>
      <c r="G15" s="201">
        <v>0.88636000000000004</v>
      </c>
      <c r="H15" s="199">
        <v>56.84</v>
      </c>
      <c r="I15" s="200">
        <v>0.55135999999999996</v>
      </c>
      <c r="J15" s="201">
        <v>1.2319999999999999E-2</v>
      </c>
      <c r="K15" s="199">
        <v>58.7</v>
      </c>
      <c r="L15" s="200">
        <v>0.90837999999999997</v>
      </c>
      <c r="M15" s="201">
        <v>1.193E-2</v>
      </c>
      <c r="N15" s="199">
        <v>57.72</v>
      </c>
      <c r="O15" s="200">
        <v>1.1063499999999999</v>
      </c>
      <c r="P15" s="201">
        <v>1.213E-2</v>
      </c>
      <c r="R15" s="205">
        <f t="shared" si="0"/>
        <v>58.024999999999999</v>
      </c>
    </row>
    <row r="16" spans="1:18" ht="13.95" customHeight="1">
      <c r="A16" s="202">
        <v>2.7</v>
      </c>
      <c r="B16" s="199">
        <v>58.814999999999998</v>
      </c>
      <c r="C16" s="200">
        <v>0.22203999999999999</v>
      </c>
      <c r="D16" s="201">
        <v>0.17912</v>
      </c>
      <c r="E16" s="199">
        <v>58.84</v>
      </c>
      <c r="F16" s="200">
        <v>0.68848500000000001</v>
      </c>
      <c r="G16" s="201">
        <v>0.88636499999999996</v>
      </c>
      <c r="H16" s="199">
        <v>56.83</v>
      </c>
      <c r="I16" s="200">
        <v>0.55188499999999996</v>
      </c>
      <c r="J16" s="201">
        <v>1.2319999999999999E-2</v>
      </c>
      <c r="K16" s="199">
        <v>58.7</v>
      </c>
      <c r="L16" s="200">
        <v>0.90950500000000001</v>
      </c>
      <c r="M16" s="201">
        <v>1.193E-2</v>
      </c>
      <c r="N16" s="199">
        <v>57.715000000000003</v>
      </c>
      <c r="O16" s="200">
        <v>1.107755</v>
      </c>
      <c r="P16" s="201">
        <v>1.213E-2</v>
      </c>
      <c r="R16" s="205">
        <f t="shared" si="0"/>
        <v>58.021250000000002</v>
      </c>
    </row>
    <row r="17" spans="1:18" ht="13.95" customHeight="1">
      <c r="A17" s="202">
        <v>2.8</v>
      </c>
      <c r="B17" s="199">
        <v>58.81</v>
      </c>
      <c r="C17" s="200">
        <v>0.22217000000000001</v>
      </c>
      <c r="D17" s="201">
        <v>0.17912</v>
      </c>
      <c r="E17" s="199">
        <v>58.84</v>
      </c>
      <c r="F17" s="200">
        <v>0.68981999999999999</v>
      </c>
      <c r="G17" s="201">
        <v>0.88636999999999999</v>
      </c>
      <c r="H17" s="199">
        <v>56.82</v>
      </c>
      <c r="I17" s="200">
        <v>0.55240999999999996</v>
      </c>
      <c r="J17" s="201">
        <v>1.2319999999999999E-2</v>
      </c>
      <c r="K17" s="199">
        <v>58.7</v>
      </c>
      <c r="L17" s="200">
        <v>0.91063000000000005</v>
      </c>
      <c r="M17" s="201">
        <v>1.193E-2</v>
      </c>
      <c r="N17" s="199">
        <v>57.71</v>
      </c>
      <c r="O17" s="200">
        <v>1.1091599999999999</v>
      </c>
      <c r="P17" s="201">
        <v>1.213E-2</v>
      </c>
      <c r="R17" s="205">
        <f t="shared" si="0"/>
        <v>58.017499999999998</v>
      </c>
    </row>
    <row r="18" spans="1:18" ht="13.95" customHeight="1">
      <c r="A18" s="202">
        <v>2.9</v>
      </c>
      <c r="B18" s="199">
        <v>58.81</v>
      </c>
      <c r="C18" s="200">
        <v>0.22241</v>
      </c>
      <c r="D18" s="201">
        <v>0.17912500000000001</v>
      </c>
      <c r="E18" s="199">
        <v>58.835000000000001</v>
      </c>
      <c r="F18" s="200">
        <v>0.692465</v>
      </c>
      <c r="G18" s="201">
        <v>0.88637999999999995</v>
      </c>
      <c r="H18" s="199">
        <v>56.814999999999998</v>
      </c>
      <c r="I18" s="200">
        <v>0.55342499999999994</v>
      </c>
      <c r="J18" s="201">
        <v>1.2319999999999999E-2</v>
      </c>
      <c r="K18" s="199">
        <v>58.695</v>
      </c>
      <c r="L18" s="200">
        <v>0.912605</v>
      </c>
      <c r="M18" s="201">
        <v>1.193E-2</v>
      </c>
      <c r="N18" s="199">
        <v>57.704999999999998</v>
      </c>
      <c r="O18" s="200">
        <v>1.1115600000000001</v>
      </c>
      <c r="P18" s="201">
        <v>1.213E-2</v>
      </c>
      <c r="R18" s="205">
        <f t="shared" si="0"/>
        <v>58.012500000000003</v>
      </c>
    </row>
    <row r="19" spans="1:18" ht="13.95" customHeight="1">
      <c r="A19" s="202">
        <v>3</v>
      </c>
      <c r="B19" s="199">
        <v>58.81</v>
      </c>
      <c r="C19" s="200">
        <v>0.22264999999999999</v>
      </c>
      <c r="D19" s="201">
        <v>0.17913000000000001</v>
      </c>
      <c r="E19" s="199">
        <v>58.83</v>
      </c>
      <c r="F19" s="200">
        <v>0.69511000000000001</v>
      </c>
      <c r="G19" s="201">
        <v>0.88639000000000001</v>
      </c>
      <c r="H19" s="199">
        <v>56.81</v>
      </c>
      <c r="I19" s="200">
        <v>0.55444000000000004</v>
      </c>
      <c r="J19" s="201">
        <v>1.2319999999999999E-2</v>
      </c>
      <c r="K19" s="199">
        <v>58.69</v>
      </c>
      <c r="L19" s="200">
        <v>0.91457999999999995</v>
      </c>
      <c r="M19" s="201">
        <v>1.193E-2</v>
      </c>
      <c r="N19" s="199">
        <v>57.7</v>
      </c>
      <c r="O19" s="200">
        <v>1.1139600000000001</v>
      </c>
      <c r="P19" s="201">
        <v>1.213E-2</v>
      </c>
      <c r="R19" s="205">
        <f t="shared" si="0"/>
        <v>58.007499999999993</v>
      </c>
    </row>
    <row r="20" spans="1:18" ht="13.95" customHeight="1">
      <c r="A20" s="202">
        <v>3.1</v>
      </c>
      <c r="B20" s="199">
        <v>58.81</v>
      </c>
      <c r="C20" s="200">
        <v>0.223105</v>
      </c>
      <c r="D20" s="201">
        <v>0.17913000000000001</v>
      </c>
      <c r="E20" s="199">
        <v>58.83</v>
      </c>
      <c r="F20" s="200">
        <v>0.70038</v>
      </c>
      <c r="G20" s="201">
        <v>0.88639500000000004</v>
      </c>
      <c r="H20" s="199">
        <v>56.8</v>
      </c>
      <c r="I20" s="200">
        <v>0.55642000000000003</v>
      </c>
      <c r="J20" s="201">
        <v>1.2324999999999999E-2</v>
      </c>
      <c r="K20" s="199">
        <v>58.69</v>
      </c>
      <c r="L20" s="200">
        <v>0.918265</v>
      </c>
      <c r="M20" s="201">
        <v>1.193E-2</v>
      </c>
      <c r="N20" s="199">
        <v>57.69</v>
      </c>
      <c r="O20" s="200">
        <v>1.1183650000000001</v>
      </c>
      <c r="P20" s="201">
        <v>1.2135E-2</v>
      </c>
      <c r="R20" s="205">
        <f t="shared" si="0"/>
        <v>58.002499999999998</v>
      </c>
    </row>
    <row r="21" spans="1:18" ht="13.95" customHeight="1">
      <c r="A21" s="202">
        <v>3.2</v>
      </c>
      <c r="B21" s="199">
        <v>58.81</v>
      </c>
      <c r="C21" s="200">
        <v>0.22356000000000001</v>
      </c>
      <c r="D21" s="201">
        <v>0.17913000000000001</v>
      </c>
      <c r="E21" s="199">
        <v>58.83</v>
      </c>
      <c r="F21" s="200">
        <v>0.70565</v>
      </c>
      <c r="G21" s="201">
        <v>0.88639999999999997</v>
      </c>
      <c r="H21" s="199">
        <v>56.79</v>
      </c>
      <c r="I21" s="200">
        <v>0.55840000000000001</v>
      </c>
      <c r="J21" s="201">
        <v>1.2330000000000001E-2</v>
      </c>
      <c r="K21" s="199">
        <v>58.69</v>
      </c>
      <c r="L21" s="200">
        <v>0.92195000000000005</v>
      </c>
      <c r="M21" s="201">
        <v>1.193E-2</v>
      </c>
      <c r="N21" s="199">
        <v>57.68</v>
      </c>
      <c r="O21" s="200">
        <v>1.12277</v>
      </c>
      <c r="P21" s="201">
        <v>1.214E-2</v>
      </c>
      <c r="R21" s="205">
        <f t="shared" si="0"/>
        <v>57.997500000000002</v>
      </c>
    </row>
    <row r="22" spans="1:18" ht="13.95" customHeight="1">
      <c r="A22" s="202">
        <v>3.3</v>
      </c>
      <c r="B22" s="199">
        <v>58.81</v>
      </c>
      <c r="C22" s="200">
        <v>0.224105</v>
      </c>
      <c r="D22" s="201">
        <v>0.17913499999999999</v>
      </c>
      <c r="E22" s="199">
        <v>58.83</v>
      </c>
      <c r="F22" s="200">
        <v>0.71199500000000004</v>
      </c>
      <c r="G22" s="201">
        <v>0.88641000000000003</v>
      </c>
      <c r="H22" s="199">
        <v>56.784999999999997</v>
      </c>
      <c r="I22" s="200">
        <v>0.56079500000000004</v>
      </c>
      <c r="J22" s="201">
        <v>1.2330000000000001E-2</v>
      </c>
      <c r="K22" s="199">
        <v>58.69</v>
      </c>
      <c r="L22" s="200">
        <v>0.92634000000000005</v>
      </c>
      <c r="M22" s="201">
        <v>1.193E-2</v>
      </c>
      <c r="N22" s="199">
        <v>57.674999999999997</v>
      </c>
      <c r="O22" s="200">
        <v>1.1280049999999999</v>
      </c>
      <c r="P22" s="201">
        <v>1.214E-2</v>
      </c>
      <c r="R22" s="205">
        <f t="shared" si="0"/>
        <v>57.99499999999999</v>
      </c>
    </row>
    <row r="23" spans="1:18" ht="13.95" customHeight="1">
      <c r="A23" s="202">
        <v>3.4</v>
      </c>
      <c r="B23" s="199">
        <v>58.81</v>
      </c>
      <c r="C23" s="200">
        <v>0.22464999999999999</v>
      </c>
      <c r="D23" s="201">
        <v>0.17913999999999999</v>
      </c>
      <c r="E23" s="199">
        <v>58.83</v>
      </c>
      <c r="F23" s="200">
        <v>0.71833999999999998</v>
      </c>
      <c r="G23" s="201">
        <v>0.88641999999999999</v>
      </c>
      <c r="H23" s="199">
        <v>56.78</v>
      </c>
      <c r="I23" s="200">
        <v>0.56318999999999997</v>
      </c>
      <c r="J23" s="201">
        <v>1.2330000000000001E-2</v>
      </c>
      <c r="K23" s="199">
        <v>58.69</v>
      </c>
      <c r="L23" s="200">
        <v>0.93072999999999995</v>
      </c>
      <c r="M23" s="201">
        <v>1.193E-2</v>
      </c>
      <c r="N23" s="199">
        <v>57.67</v>
      </c>
      <c r="O23" s="200">
        <v>1.13324</v>
      </c>
      <c r="P23" s="201">
        <v>1.214E-2</v>
      </c>
      <c r="R23" s="205">
        <f t="shared" si="0"/>
        <v>57.992499999999993</v>
      </c>
    </row>
    <row r="24" spans="1:18" ht="13.95" customHeight="1">
      <c r="A24" s="202">
        <v>3.5</v>
      </c>
      <c r="B24" s="199">
        <v>58.81</v>
      </c>
      <c r="C24" s="200">
        <v>0.22519500000000001</v>
      </c>
      <c r="D24" s="201">
        <v>0.179145</v>
      </c>
      <c r="E24" s="199">
        <v>58.83</v>
      </c>
      <c r="F24" s="200">
        <v>0.72463500000000003</v>
      </c>
      <c r="G24" s="201">
        <v>0.88643000000000005</v>
      </c>
      <c r="H24" s="199">
        <v>56.77</v>
      </c>
      <c r="I24" s="200">
        <v>0.56557999999999997</v>
      </c>
      <c r="J24" s="201">
        <v>1.2330000000000001E-2</v>
      </c>
      <c r="K24" s="199">
        <v>58.685000000000002</v>
      </c>
      <c r="L24" s="200">
        <v>0.93510499999999996</v>
      </c>
      <c r="M24" s="201">
        <v>1.193E-2</v>
      </c>
      <c r="N24" s="199">
        <v>57.66</v>
      </c>
      <c r="O24" s="200">
        <v>1.1384399999999999</v>
      </c>
      <c r="P24" s="201">
        <v>1.214E-2</v>
      </c>
      <c r="R24" s="205">
        <f t="shared" si="0"/>
        <v>57.986249999999998</v>
      </c>
    </row>
    <row r="25" spans="1:18" ht="13.95" customHeight="1">
      <c r="A25" s="202">
        <v>3.6</v>
      </c>
      <c r="B25" s="199">
        <v>58.81</v>
      </c>
      <c r="C25" s="200">
        <v>0.22574</v>
      </c>
      <c r="D25" s="201">
        <v>0.17915</v>
      </c>
      <c r="E25" s="199">
        <v>58.83</v>
      </c>
      <c r="F25" s="200">
        <v>0.73092999999999997</v>
      </c>
      <c r="G25" s="201">
        <v>0.88644000000000001</v>
      </c>
      <c r="H25" s="199">
        <v>56.76</v>
      </c>
      <c r="I25" s="200">
        <v>0.56796999999999997</v>
      </c>
      <c r="J25" s="201">
        <v>1.2330000000000001E-2</v>
      </c>
      <c r="K25" s="199">
        <v>58.68</v>
      </c>
      <c r="L25" s="200">
        <v>0.93947999999999998</v>
      </c>
      <c r="M25" s="201">
        <v>1.193E-2</v>
      </c>
      <c r="N25" s="199">
        <v>57.65</v>
      </c>
      <c r="O25" s="200">
        <v>1.14364</v>
      </c>
      <c r="P25" s="201">
        <v>1.214E-2</v>
      </c>
      <c r="R25" s="205">
        <f t="shared" si="0"/>
        <v>57.980000000000004</v>
      </c>
    </row>
    <row r="26" spans="1:18" ht="13.95" customHeight="1">
      <c r="A26" s="202">
        <v>3.7</v>
      </c>
      <c r="B26" s="199">
        <v>58.805</v>
      </c>
      <c r="C26" s="200">
        <v>0.22628999999999999</v>
      </c>
      <c r="D26" s="201">
        <v>0.17915500000000001</v>
      </c>
      <c r="E26" s="199">
        <v>58.83</v>
      </c>
      <c r="F26" s="200">
        <v>0.73716000000000004</v>
      </c>
      <c r="G26" s="201">
        <v>0.88644999999999996</v>
      </c>
      <c r="H26" s="199">
        <v>56.75</v>
      </c>
      <c r="I26" s="200">
        <v>0.57035999999999998</v>
      </c>
      <c r="J26" s="201">
        <v>1.2335E-2</v>
      </c>
      <c r="K26" s="199">
        <v>58.68</v>
      </c>
      <c r="L26" s="200">
        <v>0.94381999999999999</v>
      </c>
      <c r="M26" s="201">
        <v>1.193E-2</v>
      </c>
      <c r="N26" s="199">
        <v>57.645000000000003</v>
      </c>
      <c r="O26" s="200">
        <v>1.1488</v>
      </c>
      <c r="P26" s="201">
        <v>1.214E-2</v>
      </c>
      <c r="R26" s="205">
        <f t="shared" si="0"/>
        <v>57.976249999999993</v>
      </c>
    </row>
    <row r="27" spans="1:18" ht="13.95" customHeight="1">
      <c r="A27" s="202">
        <v>3.8</v>
      </c>
      <c r="B27" s="199">
        <v>58.8</v>
      </c>
      <c r="C27" s="200">
        <v>0.22684000000000001</v>
      </c>
      <c r="D27" s="201">
        <v>0.17916000000000001</v>
      </c>
      <c r="E27" s="199">
        <v>58.83</v>
      </c>
      <c r="F27" s="200">
        <v>0.74339</v>
      </c>
      <c r="G27" s="201">
        <v>0.88646000000000003</v>
      </c>
      <c r="H27" s="199">
        <v>56.74</v>
      </c>
      <c r="I27" s="200">
        <v>0.57274999999999998</v>
      </c>
      <c r="J27" s="201">
        <v>1.234E-2</v>
      </c>
      <c r="K27" s="199">
        <v>58.68</v>
      </c>
      <c r="L27" s="200">
        <v>0.94816</v>
      </c>
      <c r="M27" s="201">
        <v>1.193E-2</v>
      </c>
      <c r="N27" s="199">
        <v>57.64</v>
      </c>
      <c r="O27" s="200">
        <v>1.1539600000000001</v>
      </c>
      <c r="P27" s="201">
        <v>1.214E-2</v>
      </c>
      <c r="R27" s="205">
        <f t="shared" si="0"/>
        <v>57.972499999999997</v>
      </c>
    </row>
    <row r="28" spans="1:18" ht="13.95" customHeight="1">
      <c r="A28" s="202">
        <v>3.9</v>
      </c>
      <c r="B28" s="199">
        <v>58.8</v>
      </c>
      <c r="C28" s="200">
        <v>0.227385</v>
      </c>
      <c r="D28" s="201">
        <v>0.17917</v>
      </c>
      <c r="E28" s="199">
        <v>58.83</v>
      </c>
      <c r="F28" s="200">
        <v>0.74953499999999995</v>
      </c>
      <c r="G28" s="201">
        <v>0.88647500000000001</v>
      </c>
      <c r="H28" s="199">
        <v>56.73</v>
      </c>
      <c r="I28" s="200">
        <v>0.57513999999999998</v>
      </c>
      <c r="J28" s="201">
        <v>1.234E-2</v>
      </c>
      <c r="K28" s="199">
        <v>58.68</v>
      </c>
      <c r="L28" s="200">
        <v>0.952515</v>
      </c>
      <c r="M28" s="201">
        <v>1.193E-2</v>
      </c>
      <c r="N28" s="199">
        <v>57.63</v>
      </c>
      <c r="O28" s="200">
        <v>1.15907</v>
      </c>
      <c r="P28" s="201">
        <v>1.2145E-2</v>
      </c>
      <c r="R28" s="205">
        <f t="shared" si="0"/>
        <v>57.967500000000001</v>
      </c>
    </row>
    <row r="29" spans="1:18" ht="14.4" customHeight="1" thickBot="1">
      <c r="A29" s="207">
        <v>4</v>
      </c>
      <c r="B29" s="208">
        <v>58.8</v>
      </c>
      <c r="C29" s="209">
        <v>0.22792999999999999</v>
      </c>
      <c r="D29" s="210">
        <v>0.17918000000000001</v>
      </c>
      <c r="E29" s="208">
        <v>58.83</v>
      </c>
      <c r="F29" s="209">
        <v>0.75568000000000002</v>
      </c>
      <c r="G29" s="210">
        <v>0.88649</v>
      </c>
      <c r="H29" s="208">
        <v>56.72</v>
      </c>
      <c r="I29" s="209">
        <v>0.57752999999999999</v>
      </c>
      <c r="J29" s="210">
        <v>1.234E-2</v>
      </c>
      <c r="K29" s="208">
        <v>58.68</v>
      </c>
      <c r="L29" s="209">
        <v>0.95687</v>
      </c>
      <c r="M29" s="210">
        <v>1.193E-2</v>
      </c>
      <c r="N29" s="208">
        <v>57.62</v>
      </c>
      <c r="O29" s="209">
        <v>1.16418</v>
      </c>
      <c r="P29" s="210">
        <v>1.2149999999999999E-2</v>
      </c>
      <c r="R29" s="206">
        <f t="shared" si="0"/>
        <v>57.962499999999991</v>
      </c>
    </row>
  </sheetData>
  <mergeCells count="7">
    <mergeCell ref="A1:P1"/>
    <mergeCell ref="A3:A4"/>
    <mergeCell ref="B3:D3"/>
    <mergeCell ref="E3:G3"/>
    <mergeCell ref="H3:J3"/>
    <mergeCell ref="K3:M3"/>
    <mergeCell ref="N3:P3"/>
  </mergeCells>
  <pageMargins left="0.16525712063769804" right="0.17081198183560387" top="0.16525712063769804" bottom="0.16942326653612741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ySplit="4" topLeftCell="A6" activePane="bottomLeft" state="frozen"/>
      <selection activeCell="G42" sqref="G42"/>
      <selection pane="bottomLeft" activeCell="Q27" sqref="Q27"/>
    </sheetView>
  </sheetViews>
  <sheetFormatPr baseColWidth="10" defaultColWidth="11.44140625" defaultRowHeight="12.6"/>
  <cols>
    <col min="1" max="16" width="10.6640625" style="48" customWidth="1"/>
    <col min="17" max="16384" width="11.44140625" style="48"/>
  </cols>
  <sheetData>
    <row r="1" spans="1:18" ht="15.6">
      <c r="A1" s="294" t="s">
        <v>93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11"/>
      <c r="R1" s="211"/>
    </row>
    <row r="2" spans="1:18" ht="14.4" thickBo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15" thickBot="1">
      <c r="A3" s="295"/>
      <c r="B3" s="297" t="s">
        <v>63</v>
      </c>
      <c r="C3" s="298"/>
      <c r="D3" s="299"/>
      <c r="E3" s="297" t="s">
        <v>64</v>
      </c>
      <c r="F3" s="298"/>
      <c r="G3" s="299"/>
      <c r="H3" s="297" t="s">
        <v>88</v>
      </c>
      <c r="I3" s="298"/>
      <c r="J3" s="299"/>
      <c r="K3" s="297" t="s">
        <v>89</v>
      </c>
      <c r="L3" s="298"/>
      <c r="M3" s="299"/>
      <c r="N3" s="297" t="s">
        <v>67</v>
      </c>
      <c r="O3" s="298"/>
      <c r="P3" s="299"/>
      <c r="Q3" s="211"/>
      <c r="R3" s="211"/>
    </row>
    <row r="4" spans="1:18" ht="15" thickBot="1">
      <c r="A4" s="296" t="s">
        <v>57</v>
      </c>
      <c r="B4" s="195" t="s">
        <v>90</v>
      </c>
      <c r="C4" s="196" t="s">
        <v>91</v>
      </c>
      <c r="D4" s="197" t="s">
        <v>92</v>
      </c>
      <c r="E4" s="195" t="s">
        <v>90</v>
      </c>
      <c r="F4" s="196" t="s">
        <v>91</v>
      </c>
      <c r="G4" s="197" t="s">
        <v>92</v>
      </c>
      <c r="H4" s="195" t="s">
        <v>90</v>
      </c>
      <c r="I4" s="196" t="s">
        <v>91</v>
      </c>
      <c r="J4" s="197" t="s">
        <v>92</v>
      </c>
      <c r="K4" s="195" t="s">
        <v>90</v>
      </c>
      <c r="L4" s="196" t="s">
        <v>91</v>
      </c>
      <c r="M4" s="197" t="s">
        <v>92</v>
      </c>
      <c r="N4" s="195" t="s">
        <v>90</v>
      </c>
      <c r="O4" s="196" t="s">
        <v>91</v>
      </c>
      <c r="P4" s="197" t="s">
        <v>92</v>
      </c>
      <c r="Q4" s="211"/>
      <c r="R4" s="204" t="s">
        <v>90</v>
      </c>
    </row>
    <row r="5" spans="1:18" ht="13.95" customHeight="1">
      <c r="A5" s="198">
        <v>1.6</v>
      </c>
      <c r="B5" s="199">
        <v>100.89</v>
      </c>
      <c r="C5" s="200">
        <v>0.22225</v>
      </c>
      <c r="D5" s="201">
        <v>0.10442</v>
      </c>
      <c r="E5" s="199">
        <v>86.63</v>
      </c>
      <c r="F5" s="200">
        <v>0.71096999999999999</v>
      </c>
      <c r="G5" s="201">
        <v>0.60196000000000005</v>
      </c>
      <c r="H5" s="199">
        <v>72.930000000000007</v>
      </c>
      <c r="I5" s="200">
        <v>0.53512999999999999</v>
      </c>
      <c r="J5" s="201">
        <v>9.5999999999999992E-3</v>
      </c>
      <c r="K5" s="199">
        <v>77.900000000000006</v>
      </c>
      <c r="L5" s="200">
        <v>0.90915999999999997</v>
      </c>
      <c r="M5" s="201">
        <v>8.9899999999999997E-3</v>
      </c>
      <c r="N5" s="199">
        <v>71.180000000000007</v>
      </c>
      <c r="O5" s="200">
        <v>1.0837600000000001</v>
      </c>
      <c r="P5" s="201">
        <v>9.8300000000000002E-3</v>
      </c>
      <c r="Q5" s="211"/>
      <c r="R5" s="205">
        <f>+AVERAGE(N5,K5,H5,E5)</f>
        <v>77.16</v>
      </c>
    </row>
    <row r="6" spans="1:18" ht="13.95" customHeight="1">
      <c r="A6" s="202">
        <v>1.7000000000000002</v>
      </c>
      <c r="B6" s="199">
        <v>100.88</v>
      </c>
      <c r="C6" s="200">
        <v>0.22231500000000001</v>
      </c>
      <c r="D6" s="201">
        <v>0.104435</v>
      </c>
      <c r="E6" s="199">
        <v>86.625</v>
      </c>
      <c r="F6" s="200">
        <v>0.71138999999999997</v>
      </c>
      <c r="G6" s="201">
        <v>0.60202</v>
      </c>
      <c r="H6" s="199">
        <v>72.915000000000006</v>
      </c>
      <c r="I6" s="200">
        <v>0.53542000000000001</v>
      </c>
      <c r="J6" s="201">
        <v>9.5999999999999992E-3</v>
      </c>
      <c r="K6" s="199">
        <v>77.89</v>
      </c>
      <c r="L6" s="200">
        <v>0.90989500000000001</v>
      </c>
      <c r="M6" s="201">
        <v>8.9899999999999997E-3</v>
      </c>
      <c r="N6" s="199">
        <v>71.165000000000006</v>
      </c>
      <c r="O6" s="200">
        <v>1.084705</v>
      </c>
      <c r="P6" s="201">
        <v>9.835E-3</v>
      </c>
      <c r="Q6" s="211"/>
      <c r="R6" s="205">
        <f t="shared" ref="R6:R29" si="0">+AVERAGE(N6,K6,H6,E6)</f>
        <v>77.148750000000007</v>
      </c>
    </row>
    <row r="7" spans="1:18" ht="13.95" customHeight="1">
      <c r="A7" s="202">
        <v>1.8</v>
      </c>
      <c r="B7" s="199">
        <v>100.87</v>
      </c>
      <c r="C7" s="200">
        <v>0.22237999999999999</v>
      </c>
      <c r="D7" s="201">
        <v>0.10445</v>
      </c>
      <c r="E7" s="199">
        <v>86.62</v>
      </c>
      <c r="F7" s="200">
        <v>0.71181000000000005</v>
      </c>
      <c r="G7" s="201">
        <v>0.60207999999999995</v>
      </c>
      <c r="H7" s="199">
        <v>72.900000000000006</v>
      </c>
      <c r="I7" s="200">
        <v>0.53571000000000002</v>
      </c>
      <c r="J7" s="201">
        <v>9.5999999999999992E-3</v>
      </c>
      <c r="K7" s="199">
        <v>77.88</v>
      </c>
      <c r="L7" s="200">
        <v>0.91063000000000005</v>
      </c>
      <c r="M7" s="201">
        <v>8.9899999999999997E-3</v>
      </c>
      <c r="N7" s="199">
        <v>71.150000000000006</v>
      </c>
      <c r="O7" s="200">
        <v>1.08565</v>
      </c>
      <c r="P7" s="201">
        <v>9.8399999999999998E-3</v>
      </c>
      <c r="Q7" s="211"/>
      <c r="R7" s="205">
        <f t="shared" si="0"/>
        <v>77.137500000000003</v>
      </c>
    </row>
    <row r="8" spans="1:18" ht="13.95" customHeight="1">
      <c r="A8" s="202">
        <v>1.9</v>
      </c>
      <c r="B8" s="199">
        <v>100.855</v>
      </c>
      <c r="C8" s="200">
        <v>0.222445</v>
      </c>
      <c r="D8" s="201">
        <v>0.104465</v>
      </c>
      <c r="E8" s="199">
        <v>86.61</v>
      </c>
      <c r="F8" s="200">
        <v>0.71223499999999995</v>
      </c>
      <c r="G8" s="201">
        <v>0.60213499999999998</v>
      </c>
      <c r="H8" s="199">
        <v>72.88</v>
      </c>
      <c r="I8" s="200">
        <v>0.53600499999999995</v>
      </c>
      <c r="J8" s="201">
        <v>9.6050000000000007E-3</v>
      </c>
      <c r="K8" s="199">
        <v>77.875</v>
      </c>
      <c r="L8" s="200">
        <v>0.91137999999999997</v>
      </c>
      <c r="M8" s="201">
        <v>8.9899999999999997E-3</v>
      </c>
      <c r="N8" s="199">
        <v>71.135000000000005</v>
      </c>
      <c r="O8" s="200">
        <v>1.0866</v>
      </c>
      <c r="P8" s="201">
        <v>9.8399999999999998E-3</v>
      </c>
      <c r="Q8" s="211"/>
      <c r="R8" s="205">
        <f t="shared" si="0"/>
        <v>77.125</v>
      </c>
    </row>
    <row r="9" spans="1:18" ht="13.95" customHeight="1">
      <c r="A9" s="202">
        <v>2</v>
      </c>
      <c r="B9" s="199">
        <v>100.84</v>
      </c>
      <c r="C9" s="200">
        <v>0.22251000000000001</v>
      </c>
      <c r="D9" s="201">
        <v>0.10448</v>
      </c>
      <c r="E9" s="199">
        <v>86.6</v>
      </c>
      <c r="F9" s="200">
        <v>0.71265999999999996</v>
      </c>
      <c r="G9" s="201">
        <v>0.60219</v>
      </c>
      <c r="H9" s="199">
        <v>72.86</v>
      </c>
      <c r="I9" s="200">
        <v>0.5363</v>
      </c>
      <c r="J9" s="201">
        <v>9.6100000000000005E-3</v>
      </c>
      <c r="K9" s="199">
        <v>77.87</v>
      </c>
      <c r="L9" s="200">
        <v>0.91213</v>
      </c>
      <c r="M9" s="201">
        <v>8.9899999999999997E-3</v>
      </c>
      <c r="N9" s="199">
        <v>71.12</v>
      </c>
      <c r="O9" s="200">
        <v>1.08755</v>
      </c>
      <c r="P9" s="201">
        <v>9.8399999999999998E-3</v>
      </c>
      <c r="Q9" s="211"/>
      <c r="R9" s="205">
        <f t="shared" si="0"/>
        <v>77.112500000000011</v>
      </c>
    </row>
    <row r="10" spans="1:18" ht="13.95" customHeight="1">
      <c r="A10" s="202">
        <v>2.1</v>
      </c>
      <c r="B10" s="199">
        <v>100.82</v>
      </c>
      <c r="C10" s="200">
        <v>0.222575</v>
      </c>
      <c r="D10" s="201">
        <v>0.104495</v>
      </c>
      <c r="E10" s="199">
        <v>86.59</v>
      </c>
      <c r="F10" s="200">
        <v>0.71311999999999998</v>
      </c>
      <c r="G10" s="201">
        <v>0.60224999999999995</v>
      </c>
      <c r="H10" s="199">
        <v>72.844999999999999</v>
      </c>
      <c r="I10" s="200">
        <v>0.536605</v>
      </c>
      <c r="J10" s="201">
        <v>9.6100000000000005E-3</v>
      </c>
      <c r="K10" s="199">
        <v>77.86</v>
      </c>
      <c r="L10" s="200">
        <v>0.91290000000000004</v>
      </c>
      <c r="M10" s="201">
        <v>8.9899999999999997E-3</v>
      </c>
      <c r="N10" s="199">
        <v>71.105000000000004</v>
      </c>
      <c r="O10" s="200">
        <v>1.08853</v>
      </c>
      <c r="P10" s="201">
        <v>9.8449999999999996E-3</v>
      </c>
      <c r="Q10" s="211"/>
      <c r="R10" s="205">
        <f t="shared" si="0"/>
        <v>77.099999999999994</v>
      </c>
    </row>
    <row r="11" spans="1:18" ht="13.95" customHeight="1">
      <c r="A11" s="202">
        <v>2.2000000000000002</v>
      </c>
      <c r="B11" s="199">
        <v>100.8</v>
      </c>
      <c r="C11" s="200">
        <v>0.22264</v>
      </c>
      <c r="D11" s="201">
        <v>0.10451000000000001</v>
      </c>
      <c r="E11" s="199">
        <v>86.58</v>
      </c>
      <c r="F11" s="200">
        <v>0.71357999999999999</v>
      </c>
      <c r="G11" s="201">
        <v>0.60231000000000001</v>
      </c>
      <c r="H11" s="199">
        <v>72.83</v>
      </c>
      <c r="I11" s="200">
        <v>0.53691</v>
      </c>
      <c r="J11" s="201">
        <v>9.6100000000000005E-3</v>
      </c>
      <c r="K11" s="199">
        <v>77.849999999999994</v>
      </c>
      <c r="L11" s="200">
        <v>0.91366999999999998</v>
      </c>
      <c r="M11" s="201">
        <v>8.9899999999999997E-3</v>
      </c>
      <c r="N11" s="199">
        <v>71.09</v>
      </c>
      <c r="O11" s="200">
        <v>1.08951</v>
      </c>
      <c r="P11" s="201">
        <v>9.8499999999999994E-3</v>
      </c>
      <c r="Q11" s="211"/>
      <c r="R11" s="205">
        <f t="shared" si="0"/>
        <v>77.087499999999991</v>
      </c>
    </row>
    <row r="12" spans="1:18" ht="13.95" customHeight="1">
      <c r="A12" s="202">
        <v>2.2999999999999998</v>
      </c>
      <c r="B12" s="199">
        <v>100.78</v>
      </c>
      <c r="C12" s="200">
        <v>0.222715</v>
      </c>
      <c r="D12" s="201">
        <v>0.10453</v>
      </c>
      <c r="E12" s="199">
        <v>86.575000000000003</v>
      </c>
      <c r="F12" s="200">
        <v>0.71414</v>
      </c>
      <c r="G12" s="201">
        <v>0.60237499999999999</v>
      </c>
      <c r="H12" s="199">
        <v>72.81</v>
      </c>
      <c r="I12" s="200">
        <v>0.53725000000000001</v>
      </c>
      <c r="J12" s="201">
        <v>9.6150000000000003E-3</v>
      </c>
      <c r="K12" s="199">
        <v>77.844999999999999</v>
      </c>
      <c r="L12" s="200">
        <v>0.91450500000000001</v>
      </c>
      <c r="M12" s="201">
        <v>8.9899999999999997E-3</v>
      </c>
      <c r="N12" s="199">
        <v>71.069999999999993</v>
      </c>
      <c r="O12" s="200">
        <v>1.090565</v>
      </c>
      <c r="P12" s="201">
        <v>9.8499999999999994E-3</v>
      </c>
      <c r="Q12" s="211"/>
      <c r="R12" s="205">
        <f t="shared" si="0"/>
        <v>77.075000000000003</v>
      </c>
    </row>
    <row r="13" spans="1:18" ht="13.95" customHeight="1">
      <c r="A13" s="202">
        <v>2.4</v>
      </c>
      <c r="B13" s="199">
        <v>100.76</v>
      </c>
      <c r="C13" s="200">
        <v>0.22278999999999999</v>
      </c>
      <c r="D13" s="201">
        <v>0.10455</v>
      </c>
      <c r="E13" s="199">
        <v>86.57</v>
      </c>
      <c r="F13" s="200">
        <v>0.7147</v>
      </c>
      <c r="G13" s="201">
        <v>0.60243999999999998</v>
      </c>
      <c r="H13" s="199">
        <v>72.790000000000006</v>
      </c>
      <c r="I13" s="200">
        <v>0.53759000000000001</v>
      </c>
      <c r="J13" s="201">
        <v>9.6200000000000001E-3</v>
      </c>
      <c r="K13" s="199">
        <v>77.84</v>
      </c>
      <c r="L13" s="200">
        <v>0.91534000000000004</v>
      </c>
      <c r="M13" s="201">
        <v>8.9899999999999997E-3</v>
      </c>
      <c r="N13" s="199">
        <v>71.05</v>
      </c>
      <c r="O13" s="200">
        <v>1.09162</v>
      </c>
      <c r="P13" s="201">
        <v>9.8499999999999994E-3</v>
      </c>
      <c r="Q13" s="211"/>
      <c r="R13" s="205">
        <f t="shared" si="0"/>
        <v>77.0625</v>
      </c>
    </row>
    <row r="14" spans="1:18" ht="13.95" customHeight="1">
      <c r="A14" s="202">
        <v>2.5</v>
      </c>
      <c r="B14" s="199">
        <v>100.735</v>
      </c>
      <c r="C14" s="200">
        <v>0.22287999999999999</v>
      </c>
      <c r="D14" s="201">
        <v>0.104575</v>
      </c>
      <c r="E14" s="199">
        <v>86.56</v>
      </c>
      <c r="F14" s="200">
        <v>0.71550499999999995</v>
      </c>
      <c r="G14" s="201">
        <v>0.60250499999999996</v>
      </c>
      <c r="H14" s="199">
        <v>72.77</v>
      </c>
      <c r="I14" s="200">
        <v>0.53802000000000005</v>
      </c>
      <c r="J14" s="201">
        <v>9.6200000000000001E-3</v>
      </c>
      <c r="K14" s="199">
        <v>77.83</v>
      </c>
      <c r="L14" s="200">
        <v>0.91633500000000001</v>
      </c>
      <c r="M14" s="201">
        <v>8.9949999999999995E-3</v>
      </c>
      <c r="N14" s="199">
        <v>71.034999999999997</v>
      </c>
      <c r="O14" s="200">
        <v>1.092865</v>
      </c>
      <c r="P14" s="201">
        <v>9.8549999999999992E-3</v>
      </c>
      <c r="Q14" s="211"/>
      <c r="R14" s="205">
        <f t="shared" si="0"/>
        <v>77.048749999999998</v>
      </c>
    </row>
    <row r="15" spans="1:18" ht="13.95" customHeight="1">
      <c r="A15" s="202">
        <v>2.6</v>
      </c>
      <c r="B15" s="199">
        <v>100.71</v>
      </c>
      <c r="C15" s="200">
        <v>0.22297</v>
      </c>
      <c r="D15" s="201">
        <v>0.1046</v>
      </c>
      <c r="E15" s="199">
        <v>86.55</v>
      </c>
      <c r="F15" s="200">
        <v>0.71631</v>
      </c>
      <c r="G15" s="201">
        <v>0.60257000000000005</v>
      </c>
      <c r="H15" s="199">
        <v>72.75</v>
      </c>
      <c r="I15" s="200">
        <v>0.53844999999999998</v>
      </c>
      <c r="J15" s="201">
        <v>9.6200000000000001E-3</v>
      </c>
      <c r="K15" s="199">
        <v>77.819999999999993</v>
      </c>
      <c r="L15" s="200">
        <v>0.91732999999999998</v>
      </c>
      <c r="M15" s="201">
        <v>8.9999999999999993E-3</v>
      </c>
      <c r="N15" s="199">
        <v>71.02</v>
      </c>
      <c r="O15" s="200">
        <v>1.0941099999999999</v>
      </c>
      <c r="P15" s="201">
        <v>9.8600000000000007E-3</v>
      </c>
      <c r="Q15" s="211"/>
      <c r="R15" s="205">
        <f t="shared" si="0"/>
        <v>77.034999999999997</v>
      </c>
    </row>
    <row r="16" spans="1:18" ht="13.95" customHeight="1">
      <c r="A16" s="202">
        <v>2.7</v>
      </c>
      <c r="B16" s="199">
        <v>100.68</v>
      </c>
      <c r="C16" s="200">
        <v>0.223105</v>
      </c>
      <c r="D16" s="201">
        <v>0.10463500000000001</v>
      </c>
      <c r="E16" s="199">
        <v>86.54</v>
      </c>
      <c r="F16" s="200">
        <v>0.71769499999999997</v>
      </c>
      <c r="G16" s="201">
        <v>0.60263999999999995</v>
      </c>
      <c r="H16" s="199">
        <v>72.73</v>
      </c>
      <c r="I16" s="200">
        <v>0.53909499999999999</v>
      </c>
      <c r="J16" s="201">
        <v>9.6249999999999999E-3</v>
      </c>
      <c r="K16" s="199">
        <v>77.81</v>
      </c>
      <c r="L16" s="200">
        <v>0.91870499999999999</v>
      </c>
      <c r="M16" s="201">
        <v>8.9999999999999993E-3</v>
      </c>
      <c r="N16" s="199">
        <v>71.004999999999995</v>
      </c>
      <c r="O16" s="200">
        <v>1.0958000000000001</v>
      </c>
      <c r="P16" s="201">
        <v>9.8600000000000007E-3</v>
      </c>
      <c r="Q16" s="211"/>
      <c r="R16" s="205">
        <f t="shared" si="0"/>
        <v>77.021250000000009</v>
      </c>
    </row>
    <row r="17" spans="1:18" ht="13.95" customHeight="1">
      <c r="A17" s="202">
        <v>2.8</v>
      </c>
      <c r="B17" s="199">
        <v>100.65</v>
      </c>
      <c r="C17" s="200">
        <v>0.22323999999999999</v>
      </c>
      <c r="D17" s="201">
        <v>0.10467</v>
      </c>
      <c r="E17" s="199">
        <v>86.53</v>
      </c>
      <c r="F17" s="200">
        <v>0.71908000000000005</v>
      </c>
      <c r="G17" s="201">
        <v>0.60270999999999997</v>
      </c>
      <c r="H17" s="199">
        <v>72.709999999999994</v>
      </c>
      <c r="I17" s="200">
        <v>0.53974</v>
      </c>
      <c r="J17" s="201">
        <v>9.6299999999999997E-3</v>
      </c>
      <c r="K17" s="199">
        <v>77.8</v>
      </c>
      <c r="L17" s="200">
        <v>0.92008000000000001</v>
      </c>
      <c r="M17" s="201">
        <v>8.9999999999999993E-3</v>
      </c>
      <c r="N17" s="199">
        <v>70.989999999999995</v>
      </c>
      <c r="O17" s="200">
        <v>1.0974900000000001</v>
      </c>
      <c r="P17" s="201">
        <v>9.8600000000000007E-3</v>
      </c>
      <c r="Q17" s="211"/>
      <c r="R17" s="205">
        <f t="shared" si="0"/>
        <v>77.007499999999993</v>
      </c>
    </row>
    <row r="18" spans="1:18" ht="13.95" customHeight="1">
      <c r="A18" s="202">
        <v>2.9</v>
      </c>
      <c r="B18" s="199">
        <v>100.61</v>
      </c>
      <c r="C18" s="200">
        <v>0.22348000000000001</v>
      </c>
      <c r="D18" s="201">
        <v>0.10471</v>
      </c>
      <c r="E18" s="199">
        <v>86.515000000000001</v>
      </c>
      <c r="F18" s="200">
        <v>0.72177999999999998</v>
      </c>
      <c r="G18" s="201">
        <v>0.60279000000000005</v>
      </c>
      <c r="H18" s="199">
        <v>72.685000000000002</v>
      </c>
      <c r="I18" s="200">
        <v>0.54086500000000004</v>
      </c>
      <c r="J18" s="201">
        <v>9.6299999999999997E-3</v>
      </c>
      <c r="K18" s="199">
        <v>77.790000000000006</v>
      </c>
      <c r="L18" s="200">
        <v>0.92230500000000004</v>
      </c>
      <c r="M18" s="201">
        <v>8.9999999999999993E-3</v>
      </c>
      <c r="N18" s="199">
        <v>70.97</v>
      </c>
      <c r="O18" s="200">
        <v>1.1001799999999999</v>
      </c>
      <c r="P18" s="201">
        <v>9.8650000000000005E-3</v>
      </c>
      <c r="Q18" s="211"/>
      <c r="R18" s="205">
        <f t="shared" si="0"/>
        <v>76.989999999999995</v>
      </c>
    </row>
    <row r="19" spans="1:18" ht="13.95" customHeight="1">
      <c r="A19" s="202">
        <v>3</v>
      </c>
      <c r="B19" s="199">
        <v>100.57</v>
      </c>
      <c r="C19" s="200">
        <v>0.22372</v>
      </c>
      <c r="D19" s="201">
        <v>0.10475</v>
      </c>
      <c r="E19" s="199">
        <v>86.5</v>
      </c>
      <c r="F19" s="200">
        <v>0.72448000000000001</v>
      </c>
      <c r="G19" s="201">
        <v>0.60287000000000002</v>
      </c>
      <c r="H19" s="199">
        <v>72.66</v>
      </c>
      <c r="I19" s="200">
        <v>0.54198999999999997</v>
      </c>
      <c r="J19" s="201">
        <v>9.6299999999999997E-3</v>
      </c>
      <c r="K19" s="199">
        <v>77.78</v>
      </c>
      <c r="L19" s="200">
        <v>0.92452999999999996</v>
      </c>
      <c r="M19" s="201">
        <v>8.9999999999999993E-3</v>
      </c>
      <c r="N19" s="199">
        <v>70.95</v>
      </c>
      <c r="O19" s="200">
        <v>1.10287</v>
      </c>
      <c r="P19" s="201">
        <v>9.8700000000000003E-3</v>
      </c>
      <c r="Q19" s="211"/>
      <c r="R19" s="205">
        <f t="shared" si="0"/>
        <v>76.972499999999997</v>
      </c>
    </row>
    <row r="20" spans="1:18" ht="13.95" customHeight="1">
      <c r="A20" s="202">
        <v>3.1</v>
      </c>
      <c r="B20" s="199">
        <v>100.52</v>
      </c>
      <c r="C20" s="200">
        <v>0.224165</v>
      </c>
      <c r="D20" s="201">
        <v>0.104805</v>
      </c>
      <c r="E20" s="199">
        <v>86.49</v>
      </c>
      <c r="F20" s="200">
        <v>0.72979499999999997</v>
      </c>
      <c r="G20" s="201">
        <v>0.60296499999999997</v>
      </c>
      <c r="H20" s="199">
        <v>72.64</v>
      </c>
      <c r="I20" s="200">
        <v>0.54408999999999996</v>
      </c>
      <c r="J20" s="201">
        <v>9.6349999999999995E-3</v>
      </c>
      <c r="K20" s="199">
        <v>77.77</v>
      </c>
      <c r="L20" s="200">
        <v>0.92845999999999995</v>
      </c>
      <c r="M20" s="201">
        <v>8.9999999999999993E-3</v>
      </c>
      <c r="N20" s="199">
        <v>70.935000000000002</v>
      </c>
      <c r="O20" s="200">
        <v>1.1075600000000001</v>
      </c>
      <c r="P20" s="201">
        <v>9.8700000000000003E-3</v>
      </c>
      <c r="Q20" s="211"/>
      <c r="R20" s="205">
        <f t="shared" si="0"/>
        <v>76.958749999999995</v>
      </c>
    </row>
    <row r="21" spans="1:18" ht="13.95" customHeight="1">
      <c r="A21" s="202">
        <v>3.2</v>
      </c>
      <c r="B21" s="199">
        <v>100.47</v>
      </c>
      <c r="C21" s="200">
        <v>0.22461</v>
      </c>
      <c r="D21" s="201">
        <v>0.10485999999999999</v>
      </c>
      <c r="E21" s="199">
        <v>86.48</v>
      </c>
      <c r="F21" s="200">
        <v>0.73511000000000004</v>
      </c>
      <c r="G21" s="201">
        <v>0.60306000000000004</v>
      </c>
      <c r="H21" s="199">
        <v>72.62</v>
      </c>
      <c r="I21" s="200">
        <v>0.54618999999999995</v>
      </c>
      <c r="J21" s="201">
        <v>9.6399999999999993E-3</v>
      </c>
      <c r="K21" s="199">
        <v>77.760000000000005</v>
      </c>
      <c r="L21" s="200">
        <v>0.93239000000000005</v>
      </c>
      <c r="M21" s="201">
        <v>8.9999999999999993E-3</v>
      </c>
      <c r="N21" s="199">
        <v>70.92</v>
      </c>
      <c r="O21" s="200">
        <v>1.11225</v>
      </c>
      <c r="P21" s="201">
        <v>9.8700000000000003E-3</v>
      </c>
      <c r="Q21" s="211"/>
      <c r="R21" s="205">
        <f t="shared" si="0"/>
        <v>76.945000000000007</v>
      </c>
    </row>
    <row r="22" spans="1:18" ht="13.95" customHeight="1">
      <c r="A22" s="202">
        <v>3.3</v>
      </c>
      <c r="B22" s="199">
        <v>100.4</v>
      </c>
      <c r="C22" s="200">
        <v>0.22514000000000001</v>
      </c>
      <c r="D22" s="201">
        <v>0.104935</v>
      </c>
      <c r="E22" s="199">
        <v>86.46</v>
      </c>
      <c r="F22" s="200">
        <v>0.74149500000000002</v>
      </c>
      <c r="G22" s="201">
        <v>0.60318000000000005</v>
      </c>
      <c r="H22" s="199">
        <v>72.59</v>
      </c>
      <c r="I22" s="200">
        <v>0.54869500000000004</v>
      </c>
      <c r="J22" s="201">
        <v>9.6450000000000008E-3</v>
      </c>
      <c r="K22" s="199">
        <v>77.75</v>
      </c>
      <c r="L22" s="200">
        <v>0.937025</v>
      </c>
      <c r="M22" s="201">
        <v>8.9999999999999993E-3</v>
      </c>
      <c r="N22" s="199">
        <v>70.900000000000006</v>
      </c>
      <c r="O22" s="200">
        <v>1.1177550000000001</v>
      </c>
      <c r="P22" s="201">
        <v>9.8750000000000001E-3</v>
      </c>
      <c r="Q22" s="211"/>
      <c r="R22" s="205">
        <f t="shared" si="0"/>
        <v>76.924999999999997</v>
      </c>
    </row>
    <row r="23" spans="1:18" ht="13.95" customHeight="1">
      <c r="A23" s="202">
        <v>3.4</v>
      </c>
      <c r="B23" s="199">
        <v>100.33</v>
      </c>
      <c r="C23" s="200">
        <v>0.22567000000000001</v>
      </c>
      <c r="D23" s="201">
        <v>0.10501000000000001</v>
      </c>
      <c r="E23" s="199">
        <v>86.44</v>
      </c>
      <c r="F23" s="200">
        <v>0.74787999999999999</v>
      </c>
      <c r="G23" s="201">
        <v>0.60329999999999995</v>
      </c>
      <c r="H23" s="199">
        <v>72.56</v>
      </c>
      <c r="I23" s="200">
        <v>0.55120000000000002</v>
      </c>
      <c r="J23" s="201">
        <v>9.6500000000000006E-3</v>
      </c>
      <c r="K23" s="199">
        <v>77.739999999999995</v>
      </c>
      <c r="L23" s="200">
        <v>0.94166000000000005</v>
      </c>
      <c r="M23" s="201">
        <v>8.9999999999999993E-3</v>
      </c>
      <c r="N23" s="199">
        <v>70.88</v>
      </c>
      <c r="O23" s="200">
        <v>1.1232599999999999</v>
      </c>
      <c r="P23" s="201">
        <v>9.8799999999999999E-3</v>
      </c>
      <c r="Q23" s="211"/>
      <c r="R23" s="205">
        <f t="shared" si="0"/>
        <v>76.905000000000001</v>
      </c>
    </row>
    <row r="24" spans="1:18" ht="13.95" customHeight="1">
      <c r="A24" s="202">
        <v>3.5</v>
      </c>
      <c r="B24" s="199">
        <v>100.24</v>
      </c>
      <c r="C24" s="200">
        <v>0.22619</v>
      </c>
      <c r="D24" s="201">
        <v>0.105105</v>
      </c>
      <c r="E24" s="199">
        <v>86.42</v>
      </c>
      <c r="F24" s="200">
        <v>0.75419999999999998</v>
      </c>
      <c r="G24" s="201">
        <v>0.60345499999999996</v>
      </c>
      <c r="H24" s="199">
        <v>72.53</v>
      </c>
      <c r="I24" s="200">
        <v>0.55369999999999997</v>
      </c>
      <c r="J24" s="201">
        <v>9.6500000000000006E-3</v>
      </c>
      <c r="K24" s="199">
        <v>77.73</v>
      </c>
      <c r="L24" s="200">
        <v>0.94626999999999994</v>
      </c>
      <c r="M24" s="201">
        <v>9.0050000000000009E-3</v>
      </c>
      <c r="N24" s="199">
        <v>70.855000000000004</v>
      </c>
      <c r="O24" s="200">
        <v>1.12873</v>
      </c>
      <c r="P24" s="201">
        <v>9.8799999999999999E-3</v>
      </c>
      <c r="Q24" s="211"/>
      <c r="R24" s="205">
        <f t="shared" si="0"/>
        <v>76.883750000000006</v>
      </c>
    </row>
    <row r="25" spans="1:18" ht="13.95" customHeight="1">
      <c r="A25" s="202">
        <v>3.6</v>
      </c>
      <c r="B25" s="199">
        <v>100.15</v>
      </c>
      <c r="C25" s="200">
        <v>0.22670999999999999</v>
      </c>
      <c r="D25" s="201">
        <v>0.1052</v>
      </c>
      <c r="E25" s="199">
        <v>86.4</v>
      </c>
      <c r="F25" s="200">
        <v>0.76051999999999997</v>
      </c>
      <c r="G25" s="201">
        <v>0.60360999999999998</v>
      </c>
      <c r="H25" s="199">
        <v>72.5</v>
      </c>
      <c r="I25" s="200">
        <v>0.55620000000000003</v>
      </c>
      <c r="J25" s="201">
        <v>9.6500000000000006E-3</v>
      </c>
      <c r="K25" s="199">
        <v>77.72</v>
      </c>
      <c r="L25" s="200">
        <v>0.95087999999999995</v>
      </c>
      <c r="M25" s="201">
        <v>9.0100000000000006E-3</v>
      </c>
      <c r="N25" s="199">
        <v>70.83</v>
      </c>
      <c r="O25" s="200">
        <v>1.1342000000000001</v>
      </c>
      <c r="P25" s="201">
        <v>9.8799999999999999E-3</v>
      </c>
      <c r="Q25" s="211"/>
      <c r="R25" s="205">
        <f t="shared" si="0"/>
        <v>76.862500000000011</v>
      </c>
    </row>
    <row r="26" spans="1:18" ht="13.95" customHeight="1">
      <c r="A26" s="202">
        <v>3.7</v>
      </c>
      <c r="B26" s="199">
        <v>100.03</v>
      </c>
      <c r="C26" s="200">
        <v>0.227215</v>
      </c>
      <c r="D26" s="201">
        <v>0.10532</v>
      </c>
      <c r="E26" s="199">
        <v>86.37</v>
      </c>
      <c r="F26" s="200">
        <v>0.76675499999999996</v>
      </c>
      <c r="G26" s="201">
        <v>0.60382499999999995</v>
      </c>
      <c r="H26" s="199">
        <v>72.47</v>
      </c>
      <c r="I26" s="200">
        <v>0.55869500000000005</v>
      </c>
      <c r="J26" s="201">
        <v>9.6550000000000004E-3</v>
      </c>
      <c r="K26" s="199">
        <v>77.704999999999998</v>
      </c>
      <c r="L26" s="200">
        <v>0.95545000000000002</v>
      </c>
      <c r="M26" s="201">
        <v>9.0100000000000006E-3</v>
      </c>
      <c r="N26" s="199">
        <v>70.805000000000007</v>
      </c>
      <c r="O26" s="200">
        <v>1.1396200000000001</v>
      </c>
      <c r="P26" s="201">
        <v>9.8849999999999997E-3</v>
      </c>
      <c r="Q26" s="211"/>
      <c r="R26" s="205">
        <f t="shared" si="0"/>
        <v>76.837500000000006</v>
      </c>
    </row>
    <row r="27" spans="1:18" ht="13.95" customHeight="1">
      <c r="A27" s="202">
        <v>3.8</v>
      </c>
      <c r="B27" s="199">
        <v>99.91</v>
      </c>
      <c r="C27" s="200">
        <v>0.22772000000000001</v>
      </c>
      <c r="D27" s="201">
        <v>0.10544000000000001</v>
      </c>
      <c r="E27" s="199">
        <v>86.34</v>
      </c>
      <c r="F27" s="200">
        <v>0.77298999999999995</v>
      </c>
      <c r="G27" s="201">
        <v>0.60404000000000002</v>
      </c>
      <c r="H27" s="199">
        <v>72.44</v>
      </c>
      <c r="I27" s="200">
        <v>0.56118999999999997</v>
      </c>
      <c r="J27" s="201">
        <v>9.6600000000000002E-3</v>
      </c>
      <c r="K27" s="199">
        <v>77.69</v>
      </c>
      <c r="L27" s="200">
        <v>0.96001999999999998</v>
      </c>
      <c r="M27" s="201">
        <v>9.0100000000000006E-3</v>
      </c>
      <c r="N27" s="199">
        <v>70.78</v>
      </c>
      <c r="O27" s="200">
        <v>1.1450400000000001</v>
      </c>
      <c r="P27" s="201">
        <v>9.8899999999999995E-3</v>
      </c>
      <c r="Q27" s="211"/>
      <c r="R27" s="205">
        <f t="shared" si="0"/>
        <v>76.8125</v>
      </c>
    </row>
    <row r="28" spans="1:18" ht="13.95" customHeight="1">
      <c r="A28" s="202">
        <v>3.9</v>
      </c>
      <c r="B28" s="199">
        <v>99.76</v>
      </c>
      <c r="C28" s="200">
        <v>0.22820499999999999</v>
      </c>
      <c r="D28" s="201">
        <v>0.1056</v>
      </c>
      <c r="E28" s="199">
        <v>86.295000000000002</v>
      </c>
      <c r="F28" s="200">
        <v>0.77910999999999997</v>
      </c>
      <c r="G28" s="201">
        <v>0.60433000000000003</v>
      </c>
      <c r="H28" s="199">
        <v>72.400000000000006</v>
      </c>
      <c r="I28" s="200">
        <v>0.56367999999999996</v>
      </c>
      <c r="J28" s="201">
        <v>9.665E-3</v>
      </c>
      <c r="K28" s="199">
        <v>77.67</v>
      </c>
      <c r="L28" s="200">
        <v>0.96455000000000002</v>
      </c>
      <c r="M28" s="201">
        <v>9.0150000000000004E-3</v>
      </c>
      <c r="N28" s="199">
        <v>70.75</v>
      </c>
      <c r="O28" s="200">
        <v>1.1503950000000001</v>
      </c>
      <c r="P28" s="201">
        <v>9.8949999999999993E-3</v>
      </c>
      <c r="Q28" s="211"/>
      <c r="R28" s="205">
        <f t="shared" si="0"/>
        <v>76.778750000000002</v>
      </c>
    </row>
    <row r="29" spans="1:18" ht="14.4" customHeight="1" thickBot="1">
      <c r="A29" s="207">
        <v>4</v>
      </c>
      <c r="B29" s="208">
        <v>99.61</v>
      </c>
      <c r="C29" s="209">
        <v>0.22869</v>
      </c>
      <c r="D29" s="210">
        <v>0.10576000000000001</v>
      </c>
      <c r="E29" s="208">
        <v>86.25</v>
      </c>
      <c r="F29" s="209">
        <v>0.78522999999999998</v>
      </c>
      <c r="G29" s="210">
        <v>0.60462000000000005</v>
      </c>
      <c r="H29" s="208">
        <v>72.36</v>
      </c>
      <c r="I29" s="209">
        <v>0.56616999999999995</v>
      </c>
      <c r="J29" s="210">
        <v>9.6699999999999998E-3</v>
      </c>
      <c r="K29" s="208">
        <v>77.650000000000006</v>
      </c>
      <c r="L29" s="209">
        <v>0.96908000000000005</v>
      </c>
      <c r="M29" s="210">
        <v>9.0200000000000002E-3</v>
      </c>
      <c r="N29" s="208">
        <v>70.72</v>
      </c>
      <c r="O29" s="209">
        <v>1.1557500000000001</v>
      </c>
      <c r="P29" s="210">
        <v>9.9000000000000008E-3</v>
      </c>
      <c r="Q29" s="211"/>
      <c r="R29" s="206">
        <f t="shared" si="0"/>
        <v>76.745000000000005</v>
      </c>
    </row>
  </sheetData>
  <mergeCells count="7">
    <mergeCell ref="A1:P1"/>
    <mergeCell ref="A3:A4"/>
    <mergeCell ref="B3:D3"/>
    <mergeCell ref="E3:G3"/>
    <mergeCell ref="H3:J3"/>
    <mergeCell ref="K3:M3"/>
    <mergeCell ref="N3:P3"/>
  </mergeCells>
  <pageMargins left="0.16525712063769804" right="0.17081198183560387" top="0.16525712063769804" bottom="0.16942326653612741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topLeftCell="A31" workbookViewId="0">
      <selection activeCell="F37" sqref="F37"/>
    </sheetView>
  </sheetViews>
  <sheetFormatPr baseColWidth="10" defaultColWidth="9.109375" defaultRowHeight="14.4"/>
  <cols>
    <col min="3" max="3" width="24.6640625" bestFit="1" customWidth="1"/>
    <col min="4" max="4" width="23" bestFit="1" customWidth="1"/>
    <col min="5" max="5" width="24.6640625" bestFit="1" customWidth="1"/>
    <col min="6" max="6" width="23" bestFit="1" customWidth="1"/>
    <col min="7" max="7" width="13.33203125" bestFit="1" customWidth="1"/>
    <col min="8" max="8" width="19.6640625" bestFit="1" customWidth="1"/>
    <col min="9" max="9" width="17.88671875" bestFit="1" customWidth="1"/>
    <col min="10" max="10" width="17.6640625" bestFit="1" customWidth="1"/>
  </cols>
  <sheetData>
    <row r="1" spans="2:10" ht="15.6">
      <c r="B1" s="291" t="s">
        <v>131</v>
      </c>
      <c r="C1" s="291"/>
      <c r="D1" s="291"/>
      <c r="E1" s="291"/>
      <c r="F1" s="291"/>
      <c r="G1" s="291"/>
      <c r="H1" s="291"/>
      <c r="I1" s="291"/>
      <c r="J1" s="291"/>
    </row>
    <row r="2" spans="2:10" ht="15" thickBot="1"/>
    <row r="3" spans="2:10" ht="15" thickBot="1">
      <c r="C3" s="292" t="s">
        <v>70</v>
      </c>
      <c r="D3" s="293"/>
      <c r="E3" s="292" t="s">
        <v>100</v>
      </c>
      <c r="F3" s="293"/>
    </row>
    <row r="4" spans="2:10" ht="15" thickBot="1">
      <c r="B4" s="137" t="s">
        <v>55</v>
      </c>
      <c r="C4" s="131" t="s">
        <v>102</v>
      </c>
      <c r="D4" s="132" t="s">
        <v>103</v>
      </c>
      <c r="E4" s="228" t="s">
        <v>102</v>
      </c>
      <c r="F4" s="181" t="s">
        <v>103</v>
      </c>
      <c r="G4" s="229" t="s">
        <v>104</v>
      </c>
      <c r="H4" s="179" t="s">
        <v>105</v>
      </c>
      <c r="I4" s="180" t="s">
        <v>106</v>
      </c>
      <c r="J4" s="181" t="s">
        <v>107</v>
      </c>
    </row>
    <row r="5" spans="2:10">
      <c r="B5" s="138">
        <v>2019</v>
      </c>
      <c r="C5" s="189"/>
      <c r="D5" s="190"/>
      <c r="E5" s="169">
        <f>+'Comparación Base-Alt I'!E5*(1+$D$30)</f>
        <v>2457562.2924709879</v>
      </c>
      <c r="F5" s="190"/>
      <c r="G5" s="169"/>
      <c r="H5" s="170">
        <f>+C5-E5</f>
        <v>-2457562.2924709879</v>
      </c>
      <c r="I5" s="171"/>
      <c r="J5" s="172">
        <f>+I5+G5+H5</f>
        <v>-2457562.2924709879</v>
      </c>
    </row>
    <row r="6" spans="2:10">
      <c r="B6" s="139">
        <v>2020</v>
      </c>
      <c r="C6" s="115">
        <f>+'Comparación Base-Alt I'!C6*(1+$C$30)</f>
        <v>11535.720144223615</v>
      </c>
      <c r="D6" s="104">
        <f>+'Comparación Base-Alt I'!D6*(1+$E$30)</f>
        <v>1016038.0548999942</v>
      </c>
      <c r="E6" s="115">
        <f>+'Comparación Base-Alt I'!E6*(1+$D$30)</f>
        <v>15978.181907200516</v>
      </c>
      <c r="F6" s="104">
        <f>+'Comparación Base-Alt I'!F6*(1+$F$30)</f>
        <v>939789.07500772248</v>
      </c>
      <c r="G6" s="115">
        <f t="shared" ref="G6:G25" si="0">+D6-F6</f>
        <v>76248.979892271687</v>
      </c>
      <c r="H6" s="95">
        <f t="shared" ref="H6:H25" si="1">+C6-E6</f>
        <v>-4442.4617629769018</v>
      </c>
      <c r="I6" s="95">
        <f>+'Beneficios exógenos'!V5*(1+$F$30)+'Beneficios exógenos'!J32*(1+$D$30)</f>
        <v>30909.696456102887</v>
      </c>
      <c r="J6" s="129">
        <f t="shared" ref="J6:J25" si="2">+I6+G6+H6</f>
        <v>102716.21458539767</v>
      </c>
    </row>
    <row r="7" spans="2:10">
      <c r="B7" s="139">
        <v>2021</v>
      </c>
      <c r="C7" s="115">
        <f>+'Comparación Base-Alt I'!C7*(1+$C$30)</f>
        <v>11535.720144223615</v>
      </c>
      <c r="D7" s="104">
        <f>+'Comparación Base-Alt I'!D7*(1+$E$30)</f>
        <v>1101909.209530069</v>
      </c>
      <c r="E7" s="115">
        <f>+'Comparación Base-Alt I'!E7*(1+$D$30)</f>
        <v>15978.181907200516</v>
      </c>
      <c r="F7" s="104">
        <f>+'Comparación Base-Alt I'!F7*(1+$F$30)</f>
        <v>1016748.7680864374</v>
      </c>
      <c r="G7" s="115">
        <f t="shared" si="0"/>
        <v>85160.441443631658</v>
      </c>
      <c r="H7" s="95">
        <f t="shared" si="1"/>
        <v>-4442.4617629769018</v>
      </c>
      <c r="I7" s="95">
        <f>+'Beneficios exógenos'!V6*(1+$F$30)+'Beneficios exógenos'!J33*(1+$D$30)</f>
        <v>33987.949191384774</v>
      </c>
      <c r="J7" s="129">
        <f t="shared" si="2"/>
        <v>114705.92887203953</v>
      </c>
    </row>
    <row r="8" spans="2:10">
      <c r="B8" s="139">
        <v>2022</v>
      </c>
      <c r="C8" s="115">
        <f>+'Comparación Base-Alt I'!C8*(1+$C$30)</f>
        <v>11535.720144223615</v>
      </c>
      <c r="D8" s="104">
        <f>+'Comparación Base-Alt I'!D8*(1+$E$30)</f>
        <v>1194482.6264720662</v>
      </c>
      <c r="E8" s="115">
        <f>+'Comparación Base-Alt I'!E8*(1+$D$30)</f>
        <v>15978.181907200516</v>
      </c>
      <c r="F8" s="104">
        <f>+'Comparación Base-Alt I'!F8*(1+$F$30)</f>
        <v>1097616.646596797</v>
      </c>
      <c r="G8" s="115">
        <f t="shared" si="0"/>
        <v>96865.979875269113</v>
      </c>
      <c r="H8" s="95">
        <f t="shared" si="1"/>
        <v>-4442.4617629769018</v>
      </c>
      <c r="I8" s="95">
        <f>+'Beneficios exógenos'!V7*(1+$F$30)+'Beneficios exógenos'!J34*(1+$D$30)</f>
        <v>38274.538685539446</v>
      </c>
      <c r="J8" s="129">
        <f t="shared" si="2"/>
        <v>130698.05679783165</v>
      </c>
    </row>
    <row r="9" spans="2:10">
      <c r="B9" s="139">
        <v>2023</v>
      </c>
      <c r="C9" s="115">
        <f>+'Comparación Base-Alt I'!C9*(1+$C$30)</f>
        <v>360976.54683488567</v>
      </c>
      <c r="D9" s="104">
        <f>+'Comparación Base-Alt I'!D9*(1+$E$30)</f>
        <v>1275519.5843707512</v>
      </c>
      <c r="E9" s="115">
        <f>+'Comparación Base-Alt I'!E9*(1+$D$30)</f>
        <v>15978.181907200516</v>
      </c>
      <c r="F9" s="104">
        <f>+'Comparación Base-Alt I'!F9*(1+$F$30)</f>
        <v>1183330.1726216096</v>
      </c>
      <c r="G9" s="115">
        <f t="shared" si="0"/>
        <v>92189.411749141524</v>
      </c>
      <c r="H9" s="95">
        <f t="shared" si="1"/>
        <v>344998.36492768512</v>
      </c>
      <c r="I9" s="95">
        <f>+'Beneficios exógenos'!V8*(1+$F$30)+'Beneficios exógenos'!J35*(1+$D$30)</f>
        <v>382173.16886271804</v>
      </c>
      <c r="J9" s="129">
        <f t="shared" si="2"/>
        <v>819360.94553954469</v>
      </c>
    </row>
    <row r="10" spans="2:10">
      <c r="B10" s="139">
        <v>2024</v>
      </c>
      <c r="C10" s="115">
        <f>+'Comparación Base-Alt I'!C10*(1+$C$30)</f>
        <v>11535.720144223615</v>
      </c>
      <c r="D10" s="104">
        <f>+'Comparación Base-Alt I'!D10*(1+$E$30)</f>
        <v>1376342.8641124265</v>
      </c>
      <c r="E10" s="115">
        <f>+'Comparación Base-Alt I'!E10*(1+$D$30)</f>
        <v>15978.181907200516</v>
      </c>
      <c r="F10" s="104">
        <f>+'Comparación Base-Alt I'!F10*(1+$F$30)</f>
        <v>1275824.3008004404</v>
      </c>
      <c r="G10" s="115">
        <f t="shared" si="0"/>
        <v>100518.56331198616</v>
      </c>
      <c r="H10" s="95">
        <f t="shared" si="1"/>
        <v>-4442.4617629769018</v>
      </c>
      <c r="I10" s="95">
        <f>+'Beneficios exógenos'!V9*(1+$F$30)+'Beneficios exógenos'!J36*(1+$D$30)</f>
        <v>-306679.40122462972</v>
      </c>
      <c r="J10" s="129">
        <f t="shared" si="2"/>
        <v>-210603.29967562045</v>
      </c>
    </row>
    <row r="11" spans="2:10">
      <c r="B11" s="139">
        <v>2025</v>
      </c>
      <c r="C11" s="115">
        <f>+'Comparación Base-Alt I'!C11*(1+$C$30)</f>
        <v>11535.720144223615</v>
      </c>
      <c r="D11" s="104">
        <f>+'Comparación Base-Alt I'!D11*(1+$E$30)</f>
        <v>1485678.2986706248</v>
      </c>
      <c r="E11" s="115">
        <f>+'Comparación Base-Alt I'!E11*(1+$D$30)</f>
        <v>15978.181907200516</v>
      </c>
      <c r="F11" s="104">
        <f>+'Comparación Base-Alt I'!F11*(1+$F$30)</f>
        <v>1377040.6615998053</v>
      </c>
      <c r="G11" s="115">
        <f t="shared" si="0"/>
        <v>108637.6370708195</v>
      </c>
      <c r="H11" s="95">
        <f t="shared" si="1"/>
        <v>-4442.4617629769018</v>
      </c>
      <c r="I11" s="95">
        <f>+'Beneficios exógenos'!V10*(1+$F$30)+'Beneficios exógenos'!J37*(1+$D$30)</f>
        <v>46289.074017123668</v>
      </c>
      <c r="J11" s="129">
        <f t="shared" si="2"/>
        <v>150484.24932496628</v>
      </c>
    </row>
    <row r="12" spans="2:10">
      <c r="B12" s="139">
        <v>2026</v>
      </c>
      <c r="C12" s="115">
        <f>+'Comparación Base-Alt I'!C12*(1+$C$30)</f>
        <v>11535.720144223615</v>
      </c>
      <c r="D12" s="104">
        <f>+'Comparación Base-Alt I'!D12*(1+$E$30)</f>
        <v>1605856.7324124074</v>
      </c>
      <c r="E12" s="115">
        <f>+'Comparación Base-Alt I'!E12*(1+$D$30)</f>
        <v>15978.181907200516</v>
      </c>
      <c r="F12" s="104">
        <f>+'Comparación Base-Alt I'!F12*(1+$F$30)</f>
        <v>1486403.768264544</v>
      </c>
      <c r="G12" s="115">
        <f t="shared" si="0"/>
        <v>119452.96414786344</v>
      </c>
      <c r="H12" s="95">
        <f t="shared" si="1"/>
        <v>-4442.4617629769018</v>
      </c>
      <c r="I12" s="95">
        <f>+'Beneficios exógenos'!V11*(1+$F$30)+'Beneficios exógenos'!J38*(1+$D$30)</f>
        <v>50882.65474387235</v>
      </c>
      <c r="J12" s="129">
        <f t="shared" si="2"/>
        <v>165893.1571287589</v>
      </c>
    </row>
    <row r="13" spans="2:10">
      <c r="B13" s="139">
        <v>2027</v>
      </c>
      <c r="C13" s="115">
        <f>+'Comparación Base-Alt I'!C13*(1+$C$30)</f>
        <v>11535.720144223615</v>
      </c>
      <c r="D13" s="104">
        <f>+'Comparación Base-Alt I'!D13*(1+$E$30)</f>
        <v>1737508.6506582927</v>
      </c>
      <c r="E13" s="115">
        <f>+'Comparación Base-Alt I'!E13*(1+$D$30)</f>
        <v>15978.181907200516</v>
      </c>
      <c r="F13" s="104">
        <f>+'Comparación Base-Alt I'!F13*(1+$F$30)</f>
        <v>1606651.1463818802</v>
      </c>
      <c r="G13" s="115">
        <f t="shared" si="0"/>
        <v>130857.50427641254</v>
      </c>
      <c r="H13" s="95">
        <f t="shared" si="1"/>
        <v>-4442.4617629769018</v>
      </c>
      <c r="I13" s="95">
        <f>+'Beneficios exógenos'!V12*(1+$F$30)+'Beneficios exógenos'!J39*(1+$D$30)</f>
        <v>56071.311990122776</v>
      </c>
      <c r="J13" s="129">
        <f t="shared" si="2"/>
        <v>182486.35450355842</v>
      </c>
    </row>
    <row r="14" spans="2:10">
      <c r="B14" s="139">
        <v>2028</v>
      </c>
      <c r="C14" s="115">
        <f>+'Comparación Base-Alt I'!C14*(1+$C$30)</f>
        <v>11535.720144223615</v>
      </c>
      <c r="D14" s="104">
        <f>+'Comparación Base-Alt I'!D14*(1+$E$30)</f>
        <v>1893114.9058661147</v>
      </c>
      <c r="E14" s="115">
        <f>+'Comparación Base-Alt I'!E14*(1+$D$30)</f>
        <v>15978.181907200516</v>
      </c>
      <c r="F14" s="104">
        <f>+'Comparación Base-Alt I'!F14*(1+$F$30)</f>
        <v>1736328.0965744762</v>
      </c>
      <c r="G14" s="115">
        <f t="shared" si="0"/>
        <v>156786.80929163843</v>
      </c>
      <c r="H14" s="95">
        <f t="shared" si="1"/>
        <v>-4442.4617629769018</v>
      </c>
      <c r="I14" s="95">
        <f>+'Beneficios exógenos'!V13*(1+$F$30)+'Beneficios exógenos'!J40*(1+$D$30)</f>
        <v>67318.408082019188</v>
      </c>
      <c r="J14" s="129">
        <f t="shared" si="2"/>
        <v>219662.75561068073</v>
      </c>
    </row>
    <row r="15" spans="2:10">
      <c r="B15" s="139">
        <v>2029</v>
      </c>
      <c r="C15" s="115">
        <f>+'Comparación Base-Alt I'!C15*(1+$C$30)</f>
        <v>360976.54683488567</v>
      </c>
      <c r="D15" s="104">
        <f>+'Comparación Base-Alt I'!D15*(1+$E$30)</f>
        <v>2019053.6521948739</v>
      </c>
      <c r="E15" s="115">
        <f>+'Comparación Base-Alt I'!E15*(1+$D$30)</f>
        <v>15978.181907200516</v>
      </c>
      <c r="F15" s="104">
        <f>+'Comparación Base-Alt I'!F15*(1+$F$30)</f>
        <v>1881121.2244964833</v>
      </c>
      <c r="G15" s="115">
        <f t="shared" si="0"/>
        <v>137932.42769839056</v>
      </c>
      <c r="H15" s="95">
        <f t="shared" si="1"/>
        <v>344998.36492768512</v>
      </c>
      <c r="I15" s="95">
        <f>+'Beneficios exógenos'!V14*(1+$F$30)+'Beneficios exógenos'!J41*(1+$D$30)</f>
        <v>409798.72989845567</v>
      </c>
      <c r="J15" s="129">
        <f t="shared" si="2"/>
        <v>892729.52252453135</v>
      </c>
    </row>
    <row r="16" spans="2:10">
      <c r="B16" s="139">
        <v>2030</v>
      </c>
      <c r="C16" s="115">
        <f>+'Comparación Base-Alt I'!C16*(1+$C$30)</f>
        <v>11535.720144223615</v>
      </c>
      <c r="D16" s="104">
        <f>+'Comparación Base-Alt I'!D16*(1+$E$30)</f>
        <v>2184804.8456530063</v>
      </c>
      <c r="E16" s="115">
        <f>+'Comparación Base-Alt I'!E16*(1+$D$30)</f>
        <v>412748.42930907337</v>
      </c>
      <c r="F16" s="104">
        <f>+'Comparación Base-Alt I'!F16*(1+$F$30)</f>
        <v>2016889.227729839</v>
      </c>
      <c r="G16" s="115">
        <f t="shared" si="0"/>
        <v>167915.6179231673</v>
      </c>
      <c r="H16" s="95">
        <f t="shared" si="1"/>
        <v>-401212.70916484977</v>
      </c>
      <c r="I16" s="95">
        <f>+'Beneficios exógenos'!V15*(1+$F$30)+'Beneficios exógenos'!J42*(1+$D$30)</f>
        <v>65222.745556258364</v>
      </c>
      <c r="J16" s="129">
        <f t="shared" si="2"/>
        <v>-168074.34568542411</v>
      </c>
    </row>
    <row r="17" spans="2:10">
      <c r="B17" s="139">
        <v>2031</v>
      </c>
      <c r="C17" s="115">
        <f>+'Comparación Base-Alt I'!C17*(1+$C$30)</f>
        <v>11535.720144223615</v>
      </c>
      <c r="D17" s="104">
        <f>+'Comparación Base-Alt I'!D17*(1+$E$30)</f>
        <v>2365121.0762771629</v>
      </c>
      <c r="E17" s="115">
        <f>+'Comparación Base-Alt I'!E17*(1+$D$30)</f>
        <v>15978.181907200516</v>
      </c>
      <c r="F17" s="104">
        <f>+'Comparación Base-Alt I'!F17*(1+$F$30)</f>
        <v>2182593.8075770251</v>
      </c>
      <c r="G17" s="115">
        <f t="shared" si="0"/>
        <v>182527.26870013773</v>
      </c>
      <c r="H17" s="95">
        <f t="shared" si="1"/>
        <v>-4442.4617629769018</v>
      </c>
      <c r="I17" s="95">
        <f>+'Beneficios exógenos'!V16*(1+$F$30)+'Beneficios exógenos'!J43*(1+$D$30)</f>
        <v>68532.226369287935</v>
      </c>
      <c r="J17" s="129">
        <f t="shared" si="2"/>
        <v>246617.03330644878</v>
      </c>
    </row>
    <row r="18" spans="2:10">
      <c r="B18" s="139">
        <v>2032</v>
      </c>
      <c r="C18" s="115">
        <f>+'Comparación Base-Alt I'!C18*(1+$C$30)</f>
        <v>11535.720144223615</v>
      </c>
      <c r="D18" s="104">
        <f>+'Comparación Base-Alt I'!D18*(1+$E$30)</f>
        <v>2565596.1934347302</v>
      </c>
      <c r="E18" s="115">
        <f>+'Comparación Base-Alt I'!E18*(1+$D$30)</f>
        <v>15978.181907200516</v>
      </c>
      <c r="F18" s="104">
        <f>+'Comparación Base-Alt I'!F18*(1+$F$30)</f>
        <v>2361899.3320411616</v>
      </c>
      <c r="G18" s="115">
        <f t="shared" si="0"/>
        <v>203696.86139356857</v>
      </c>
      <c r="H18" s="95">
        <f t="shared" si="1"/>
        <v>-4442.4617629769018</v>
      </c>
      <c r="I18" s="95">
        <f>+'Beneficios exógenos'!V17*(1+$F$30)+'Beneficios exógenos'!J44*(1+$D$30)</f>
        <v>69843.614982626634</v>
      </c>
      <c r="J18" s="129">
        <f t="shared" si="2"/>
        <v>269098.01461321831</v>
      </c>
    </row>
    <row r="19" spans="2:10">
      <c r="B19" s="139">
        <v>2033</v>
      </c>
      <c r="C19" s="115">
        <f>+'Comparación Base-Alt I'!C19*(1+$C$30)</f>
        <v>11535.720144223615</v>
      </c>
      <c r="D19" s="104">
        <f>+'Comparación Base-Alt I'!D19*(1+$E$30)</f>
        <v>2787508.8523533884</v>
      </c>
      <c r="E19" s="115">
        <f>+'Comparación Base-Alt I'!E19*(1+$D$30)</f>
        <v>15978.181907200516</v>
      </c>
      <c r="F19" s="104">
        <f>+'Comparación Base-Alt I'!F19*(1+$F$30)</f>
        <v>2558530.7262952346</v>
      </c>
      <c r="G19" s="115">
        <f t="shared" si="0"/>
        <v>228978.12605815381</v>
      </c>
      <c r="H19" s="95">
        <f t="shared" si="1"/>
        <v>-4442.4617629769018</v>
      </c>
      <c r="I19" s="95">
        <f>+'Beneficios exógenos'!V18*(1+$F$30)+'Beneficios exógenos'!J45*(1+$D$30)</f>
        <v>-253495.92931059084</v>
      </c>
      <c r="J19" s="129">
        <f t="shared" si="2"/>
        <v>-28960.265015413937</v>
      </c>
    </row>
    <row r="20" spans="2:10">
      <c r="B20" s="139">
        <v>2034</v>
      </c>
      <c r="C20" s="115">
        <f>+'Comparación Base-Alt I'!C20*(1+$C$30)</f>
        <v>360976.54683488567</v>
      </c>
      <c r="D20" s="104">
        <f>+'Comparación Base-Alt I'!D20*(1+$E$30)</f>
        <v>2992979.2211318226</v>
      </c>
      <c r="E20" s="115">
        <f>+'Comparación Base-Alt I'!E20*(1+$D$30)</f>
        <v>15978.181907200516</v>
      </c>
      <c r="F20" s="104">
        <f>+'Comparación Base-Alt I'!F20*(1+$F$30)</f>
        <v>2771145.0024730349</v>
      </c>
      <c r="G20" s="115">
        <f t="shared" si="0"/>
        <v>221834.21865878766</v>
      </c>
      <c r="H20" s="95">
        <f t="shared" si="1"/>
        <v>344998.36492768512</v>
      </c>
      <c r="I20" s="95">
        <f>+'Beneficios exógenos'!V19*(1+$F$30)+'Beneficios exógenos'!J46*(1+$D$30)</f>
        <v>441918.80696950119</v>
      </c>
      <c r="J20" s="129">
        <f t="shared" si="2"/>
        <v>1008751.390555974</v>
      </c>
    </row>
    <row r="21" spans="2:10">
      <c r="B21" s="139">
        <v>2035</v>
      </c>
      <c r="C21" s="115">
        <f>+'Comparación Base-Alt I'!C21*(1+$C$30)</f>
        <v>11535.720144223615</v>
      </c>
      <c r="D21" s="104">
        <f>+'Comparación Base-Alt I'!D21*(1+$E$30)</f>
        <v>3244572.2561669988</v>
      </c>
      <c r="E21" s="115">
        <f>+'Comparación Base-Alt I'!E21*(1+$D$30)</f>
        <v>15978.181907200516</v>
      </c>
      <c r="F21" s="104">
        <f>+'Comparación Base-Alt I'!F21*(1+$F$30)</f>
        <v>3005962.6603388689</v>
      </c>
      <c r="G21" s="115">
        <f t="shared" si="0"/>
        <v>238609.59582812991</v>
      </c>
      <c r="H21" s="95">
        <f t="shared" si="1"/>
        <v>-4442.4617629769018</v>
      </c>
      <c r="I21" s="95">
        <f>+'Beneficios exógenos'!V20*(1+$F$30)+'Beneficios exógenos'!J47*(1+$D$30)</f>
        <v>101007.96015844075</v>
      </c>
      <c r="J21" s="129">
        <f t="shared" si="2"/>
        <v>335175.09422359377</v>
      </c>
    </row>
    <row r="22" spans="2:10">
      <c r="B22" s="139">
        <v>2036</v>
      </c>
      <c r="C22" s="115">
        <f>+'Comparación Base-Alt I'!C22*(1+$C$30)</f>
        <v>11535.720144223615</v>
      </c>
      <c r="D22" s="104">
        <f>+'Comparación Base-Alt I'!D22*(1+$E$30)</f>
        <v>3518506.3366208798</v>
      </c>
      <c r="E22" s="115">
        <f>+'Comparación Base-Alt I'!E22*(1+$D$30)</f>
        <v>15978.181907200516</v>
      </c>
      <c r="F22" s="104">
        <f>+'Comparación Base-Alt I'!F22*(1+$F$30)</f>
        <v>3260777.2214869615</v>
      </c>
      <c r="G22" s="115">
        <f t="shared" si="0"/>
        <v>257729.11513391836</v>
      </c>
      <c r="H22" s="95">
        <f t="shared" si="1"/>
        <v>-4442.4617629769018</v>
      </c>
      <c r="I22" s="95">
        <f>+'Beneficios exógenos'!V21*(1+$F$30)+'Beneficios exógenos'!J48*(1+$D$30)</f>
        <v>109493.85765682813</v>
      </c>
      <c r="J22" s="129">
        <f t="shared" si="2"/>
        <v>362780.51102776959</v>
      </c>
    </row>
    <row r="23" spans="2:10">
      <c r="B23" s="139">
        <v>2037</v>
      </c>
      <c r="C23" s="115">
        <f>+'Comparación Base-Alt I'!C23*(1+$C$30)</f>
        <v>11535.720144223615</v>
      </c>
      <c r="D23" s="104">
        <f>+'Comparación Base-Alt I'!D23*(1+$E$30)</f>
        <v>3823124.8964276877</v>
      </c>
      <c r="E23" s="115">
        <f>+'Comparación Base-Alt I'!E23*(1+$D$30)</f>
        <v>412748.42930907337</v>
      </c>
      <c r="F23" s="104">
        <f>+'Comparación Base-Alt I'!F23*(1+$F$30)</f>
        <v>3514008.8281659433</v>
      </c>
      <c r="G23" s="115">
        <f t="shared" si="0"/>
        <v>309116.06826174445</v>
      </c>
      <c r="H23" s="95">
        <f t="shared" si="1"/>
        <v>-401212.70916484977</v>
      </c>
      <c r="I23" s="95">
        <f>+'Beneficios exógenos'!V22*(1+$F$30)+'Beneficios exógenos'!J49*(1+$D$30)</f>
        <v>122052.97644417896</v>
      </c>
      <c r="J23" s="129">
        <f t="shared" si="2"/>
        <v>29956.33554107364</v>
      </c>
    </row>
    <row r="24" spans="2:10">
      <c r="B24" s="139">
        <v>2038</v>
      </c>
      <c r="C24" s="115">
        <f>+'Comparación Base-Alt I'!C24*(1+$C$30)</f>
        <v>11535.720144223615</v>
      </c>
      <c r="D24" s="104">
        <f>+'Comparación Base-Alt I'!D24*(1+$E$30)</f>
        <v>4160444.7236442328</v>
      </c>
      <c r="E24" s="115">
        <f>+'Comparación Base-Alt I'!E24*(1+$D$30)</f>
        <v>15978.181907200516</v>
      </c>
      <c r="F24" s="104">
        <f>+'Comparación Base-Alt I'!F24*(1+$F$30)</f>
        <v>3812952.6981358309</v>
      </c>
      <c r="G24" s="115">
        <f t="shared" si="0"/>
        <v>347492.02550840192</v>
      </c>
      <c r="H24" s="95">
        <f t="shared" si="1"/>
        <v>-4442.4617629769018</v>
      </c>
      <c r="I24" s="95">
        <f>+'Beneficios exógenos'!V23*(1+$F$30)+'Beneficios exógenos'!J50*(1+$D$30)</f>
        <v>135509.98356559128</v>
      </c>
      <c r="J24" s="129">
        <f t="shared" si="2"/>
        <v>478559.5473110163</v>
      </c>
    </row>
    <row r="25" spans="2:10" ht="15" thickBot="1">
      <c r="B25" s="140">
        <v>2039</v>
      </c>
      <c r="C25" s="116">
        <f>+'Comparación Base-Alt I'!C25*(1+$C$30)</f>
        <v>360976.54683488567</v>
      </c>
      <c r="D25" s="93">
        <f>+'Comparación Base-Alt I'!D25*(1+$E$30)</f>
        <v>4474549.7948972695</v>
      </c>
      <c r="E25" s="116">
        <f>+'Comparación Base-Alt I'!E25*(1+$D$30)</f>
        <v>15978.181907200516</v>
      </c>
      <c r="F25" s="93">
        <f>+'Comparación Base-Alt I'!F25*(1+$F$30)</f>
        <v>4136970.5127709638</v>
      </c>
      <c r="G25" s="116">
        <f t="shared" si="0"/>
        <v>337579.28212630562</v>
      </c>
      <c r="H25" s="130">
        <f t="shared" si="1"/>
        <v>344998.36492768512</v>
      </c>
      <c r="I25" s="130">
        <f>+'Beneficios exógenos'!V24*(1+$F$30)+'Beneficios exógenos'!J51*(1+$D$30)+'Alternativa I'!J32*(1+'Sensibilidad Base-Alt I '!$D$30)</f>
        <v>2671123.436317584</v>
      </c>
      <c r="J25" s="174">
        <f t="shared" si="2"/>
        <v>3353701.083371575</v>
      </c>
    </row>
    <row r="26" spans="2:10">
      <c r="G26" s="94"/>
      <c r="I26" s="167" t="s">
        <v>114</v>
      </c>
      <c r="J26" s="168">
        <f>+NPV(0.1,J6:J25)+J5</f>
        <v>8566</v>
      </c>
    </row>
    <row r="27" spans="2:10" ht="15" thickBot="1">
      <c r="I27" s="145" t="s">
        <v>113</v>
      </c>
      <c r="J27" s="146">
        <f>+IRR(J5:J25)</f>
        <v>0.10034994190734037</v>
      </c>
    </row>
    <row r="28" spans="2:10">
      <c r="C28" s="289" t="s">
        <v>126</v>
      </c>
      <c r="D28" s="290"/>
      <c r="E28" s="300" t="s">
        <v>128</v>
      </c>
      <c r="F28" s="290"/>
    </row>
    <row r="29" spans="2:10" ht="15" thickBot="1">
      <c r="C29" s="183" t="s">
        <v>70</v>
      </c>
      <c r="D29" s="184" t="s">
        <v>127</v>
      </c>
      <c r="E29" s="185" t="s">
        <v>70</v>
      </c>
      <c r="F29" s="184" t="s">
        <v>127</v>
      </c>
    </row>
    <row r="30" spans="2:10" ht="15" thickBot="1">
      <c r="C30" s="186"/>
      <c r="D30" s="187"/>
      <c r="E30" s="242"/>
      <c r="F30" s="241"/>
    </row>
    <row r="33" spans="3:4" ht="15" thickBot="1">
      <c r="C33" s="303" t="s">
        <v>146</v>
      </c>
      <c r="D33" s="303"/>
    </row>
    <row r="34" spans="3:4">
      <c r="C34" s="239" t="s">
        <v>136</v>
      </c>
      <c r="D34" s="260">
        <v>5.1273202081313181E-3</v>
      </c>
    </row>
    <row r="35" spans="3:4">
      <c r="C35" s="46" t="s">
        <v>137</v>
      </c>
      <c r="D35" s="261">
        <v>-5.1011649022428508E-3</v>
      </c>
    </row>
    <row r="36" spans="3:4" ht="15" thickBot="1">
      <c r="C36" s="230" t="s">
        <v>138</v>
      </c>
      <c r="D36" s="243">
        <v>2.5571045571305701E-3</v>
      </c>
    </row>
    <row r="39" spans="3:4" ht="15" thickBot="1">
      <c r="C39" s="306" t="s">
        <v>147</v>
      </c>
      <c r="D39" s="306"/>
    </row>
    <row r="40" spans="3:4">
      <c r="C40" s="301" t="s">
        <v>139</v>
      </c>
      <c r="D40" s="302"/>
    </row>
    <row r="41" spans="3:4">
      <c r="C41" s="46" t="s">
        <v>140</v>
      </c>
      <c r="D41" s="237">
        <v>-325565.65756316995</v>
      </c>
    </row>
    <row r="42" spans="3:4" ht="15" thickBot="1">
      <c r="C42" s="230" t="s">
        <v>113</v>
      </c>
      <c r="D42" s="238">
        <v>8.8668305302231909E-2</v>
      </c>
    </row>
    <row r="43" spans="3:4">
      <c r="C43" s="304" t="s">
        <v>142</v>
      </c>
      <c r="D43" s="305"/>
    </row>
    <row r="44" spans="3:4">
      <c r="C44" s="46" t="s">
        <v>140</v>
      </c>
      <c r="D44" s="237">
        <v>-327278.85756317014</v>
      </c>
    </row>
    <row r="45" spans="3:4" ht="15" thickBot="1">
      <c r="C45" s="230" t="s">
        <v>113</v>
      </c>
      <c r="D45" s="238">
        <v>8.6266724854815013E-2</v>
      </c>
    </row>
    <row r="46" spans="3:4">
      <c r="C46" s="304" t="s">
        <v>144</v>
      </c>
      <c r="D46" s="305"/>
    </row>
    <row r="47" spans="3:4">
      <c r="C47" s="46" t="s">
        <v>140</v>
      </c>
      <c r="D47" s="237">
        <v>-661410.51512634102</v>
      </c>
    </row>
    <row r="48" spans="3:4" ht="15" thickBot="1">
      <c r="C48" s="230" t="s">
        <v>113</v>
      </c>
      <c r="D48" s="238">
        <v>7.6419040185773834E-2</v>
      </c>
    </row>
    <row r="50" spans="3:4" ht="15" thickBot="1">
      <c r="C50" s="306" t="s">
        <v>148</v>
      </c>
      <c r="D50" s="306"/>
    </row>
    <row r="51" spans="3:4">
      <c r="C51" s="301" t="s">
        <v>141</v>
      </c>
      <c r="D51" s="302"/>
    </row>
    <row r="52" spans="3:4">
      <c r="C52" s="46" t="s">
        <v>140</v>
      </c>
      <c r="D52" s="237">
        <v>-158499.82878158521</v>
      </c>
    </row>
    <row r="53" spans="3:4" ht="15" thickBot="1">
      <c r="C53" s="230" t="s">
        <v>113</v>
      </c>
      <c r="D53" s="238">
        <v>9.4043301071285779E-2</v>
      </c>
    </row>
    <row r="54" spans="3:4">
      <c r="C54" s="301" t="s">
        <v>143</v>
      </c>
      <c r="D54" s="302"/>
    </row>
    <row r="55" spans="3:4">
      <c r="C55" s="46" t="s">
        <v>140</v>
      </c>
      <c r="D55" s="237">
        <v>-159356.42878158484</v>
      </c>
    </row>
    <row r="56" spans="3:4" ht="15" thickBot="1">
      <c r="C56" s="230" t="s">
        <v>113</v>
      </c>
      <c r="D56" s="238">
        <v>9.3404211886791488E-2</v>
      </c>
    </row>
    <row r="57" spans="3:4">
      <c r="C57" s="301" t="s">
        <v>145</v>
      </c>
      <c r="D57" s="302"/>
    </row>
    <row r="58" spans="3:4">
      <c r="C58" s="46" t="s">
        <v>140</v>
      </c>
      <c r="D58" s="237">
        <v>-326422.25756317051</v>
      </c>
    </row>
    <row r="59" spans="3:4" ht="15" thickBot="1">
      <c r="C59" s="230" t="s">
        <v>113</v>
      </c>
      <c r="D59" s="238">
        <v>8.7579528262536677E-2</v>
      </c>
    </row>
  </sheetData>
  <mergeCells count="14">
    <mergeCell ref="C54:D54"/>
    <mergeCell ref="C57:D57"/>
    <mergeCell ref="C33:D33"/>
    <mergeCell ref="C40:D40"/>
    <mergeCell ref="C51:D51"/>
    <mergeCell ref="C46:D46"/>
    <mergeCell ref="C43:D43"/>
    <mergeCell ref="C39:D39"/>
    <mergeCell ref="C50:D50"/>
    <mergeCell ref="B1:J1"/>
    <mergeCell ref="C3:D3"/>
    <mergeCell ref="E3:F3"/>
    <mergeCell ref="C28:D28"/>
    <mergeCell ref="E28:F28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opLeftCell="A11" workbookViewId="0">
      <selection activeCell="H32" sqref="H32"/>
    </sheetView>
  </sheetViews>
  <sheetFormatPr baseColWidth="10" defaultColWidth="9.109375" defaultRowHeight="14.4"/>
  <cols>
    <col min="3" max="3" width="24.6640625" bestFit="1" customWidth="1"/>
    <col min="4" max="4" width="23" bestFit="1" customWidth="1"/>
    <col min="5" max="5" width="24.6640625" bestFit="1" customWidth="1"/>
    <col min="6" max="6" width="23" bestFit="1" customWidth="1"/>
    <col min="7" max="7" width="13.33203125" bestFit="1" customWidth="1"/>
    <col min="8" max="8" width="19.6640625" bestFit="1" customWidth="1"/>
    <col min="9" max="9" width="17.88671875" bestFit="1" customWidth="1"/>
    <col min="10" max="10" width="17.6640625" bestFit="1" customWidth="1"/>
  </cols>
  <sheetData>
    <row r="1" spans="2:10" ht="15.6">
      <c r="B1" s="291" t="s">
        <v>129</v>
      </c>
      <c r="C1" s="291"/>
      <c r="D1" s="291"/>
      <c r="E1" s="291"/>
      <c r="F1" s="291"/>
      <c r="G1" s="291"/>
      <c r="H1" s="291"/>
      <c r="I1" s="291"/>
      <c r="J1" s="291"/>
    </row>
    <row r="2" spans="2:10" ht="15" thickBot="1"/>
    <row r="3" spans="2:10" ht="15" thickBot="1">
      <c r="C3" s="292" t="s">
        <v>70</v>
      </c>
      <c r="D3" s="293"/>
      <c r="E3" s="292" t="s">
        <v>101</v>
      </c>
      <c r="F3" s="293"/>
    </row>
    <row r="4" spans="2:10" ht="15" thickBot="1">
      <c r="B4" s="137" t="s">
        <v>55</v>
      </c>
      <c r="C4" s="131" t="s">
        <v>102</v>
      </c>
      <c r="D4" s="132" t="s">
        <v>103</v>
      </c>
      <c r="E4" s="228" t="s">
        <v>102</v>
      </c>
      <c r="F4" s="181" t="s">
        <v>103</v>
      </c>
      <c r="G4" s="143" t="s">
        <v>104</v>
      </c>
      <c r="H4" s="136" t="s">
        <v>105</v>
      </c>
      <c r="I4" s="135" t="s">
        <v>106</v>
      </c>
      <c r="J4" s="132" t="s">
        <v>107</v>
      </c>
    </row>
    <row r="5" spans="2:10">
      <c r="B5" s="138">
        <v>2019</v>
      </c>
      <c r="C5" s="189"/>
      <c r="D5" s="191"/>
      <c r="E5" s="169">
        <f>+'Comparación Base-Alt II'!E5*(1+$D$30)</f>
        <v>2567416.8460774082</v>
      </c>
      <c r="F5" s="190"/>
      <c r="G5" s="169"/>
      <c r="H5" s="170">
        <f t="shared" ref="H5:H25" si="0">+C5-E5</f>
        <v>-2567416.8460774082</v>
      </c>
      <c r="I5" s="171"/>
      <c r="J5" s="172">
        <f>+I5+G5+H5</f>
        <v>-2567416.8460774082</v>
      </c>
    </row>
    <row r="6" spans="2:10">
      <c r="B6" s="139">
        <v>2020</v>
      </c>
      <c r="C6" s="115">
        <f>+'Comparación Base-Alt II'!C6*(1+$C$30)</f>
        <v>11535.720144223615</v>
      </c>
      <c r="D6" s="176">
        <f>+'Comparación Base-Alt II'!D6*(1+$E$30)</f>
        <v>1016038.0548999942</v>
      </c>
      <c r="E6" s="115">
        <f>+'Comparación Base-Alt II'!E6*(1+$D$30)</f>
        <v>22550.04250534689</v>
      </c>
      <c r="F6" s="104">
        <f>+'Comparación Base-Alt II'!F6*(1+$F$30)</f>
        <v>942880.66919054941</v>
      </c>
      <c r="G6" s="115">
        <f t="shared" ref="G6:G25" si="1">+D6-F6</f>
        <v>73157.385709444759</v>
      </c>
      <c r="H6" s="133">
        <f t="shared" si="0"/>
        <v>-11014.322361123275</v>
      </c>
      <c r="I6" s="95">
        <f>+'Beneficios exógenos'!V5*(1+$F$30)+'Beneficios exógenos'!J32*(1+$D$30)</f>
        <v>30909.696456102887</v>
      </c>
      <c r="J6" s="134">
        <f t="shared" ref="J6:J24" si="2">+I6+G6+H6</f>
        <v>93052.759804424364</v>
      </c>
    </row>
    <row r="7" spans="2:10">
      <c r="B7" s="139">
        <v>2021</v>
      </c>
      <c r="C7" s="115">
        <f>+'Comparación Base-Alt II'!C7*(1+$C$30)</f>
        <v>11535.720144223615</v>
      </c>
      <c r="D7" s="176">
        <f>+'Comparación Base-Alt II'!D7*(1+$E$30)</f>
        <v>1101909.209530069</v>
      </c>
      <c r="E7" s="115">
        <f>+'Comparación Base-Alt II'!E7*(1+$D$30)</f>
        <v>22550.04250534689</v>
      </c>
      <c r="F7" s="104">
        <f>+'Comparación Base-Alt II'!F7*(1+$F$30)</f>
        <v>1020344.5013558388</v>
      </c>
      <c r="G7" s="115">
        <f t="shared" si="1"/>
        <v>81564.708174230182</v>
      </c>
      <c r="H7" s="133">
        <f t="shared" si="0"/>
        <v>-11014.322361123275</v>
      </c>
      <c r="I7" s="95">
        <f>+'Beneficios exógenos'!V6*(1+$F$30)+'Beneficios exógenos'!J33*(1+$D$30)</f>
        <v>33987.949191384774</v>
      </c>
      <c r="J7" s="134">
        <f t="shared" si="2"/>
        <v>104538.33500449167</v>
      </c>
    </row>
    <row r="8" spans="2:10">
      <c r="B8" s="139">
        <v>2022</v>
      </c>
      <c r="C8" s="115">
        <f>+'Comparación Base-Alt II'!C8*(1+$C$30)</f>
        <v>11535.720144223615</v>
      </c>
      <c r="D8" s="176">
        <f>+'Comparación Base-Alt II'!D8*(1+$E$30)</f>
        <v>1194482.6264720662</v>
      </c>
      <c r="E8" s="115">
        <f>+'Comparación Base-Alt II'!E8*(1+$D$30)</f>
        <v>22550.04250534689</v>
      </c>
      <c r="F8" s="104">
        <f>+'Comparación Base-Alt II'!F8*(1+$F$30)</f>
        <v>1101687.6586001925</v>
      </c>
      <c r="G8" s="115">
        <f t="shared" si="1"/>
        <v>92794.96787187364</v>
      </c>
      <c r="H8" s="133">
        <f t="shared" si="0"/>
        <v>-11014.322361123275</v>
      </c>
      <c r="I8" s="95">
        <f>+'Beneficios exógenos'!V7*(1+$F$30)+'Beneficios exógenos'!J34*(1+$D$30)</f>
        <v>38274.538685539446</v>
      </c>
      <c r="J8" s="134">
        <f t="shared" si="2"/>
        <v>120055.1841962898</v>
      </c>
    </row>
    <row r="9" spans="2:10">
      <c r="B9" s="139">
        <v>2023</v>
      </c>
      <c r="C9" s="115">
        <f>+'Comparación Base-Alt II'!C9*(1+$C$30)</f>
        <v>360976.54683488567</v>
      </c>
      <c r="D9" s="176">
        <f>+'Comparación Base-Alt II'!D9*(1+$E$30)</f>
        <v>1275519.5843707512</v>
      </c>
      <c r="E9" s="115">
        <f>+'Comparación Base-Alt II'!E9*(1+$D$30)</f>
        <v>22550.04250534689</v>
      </c>
      <c r="F9" s="104">
        <f>+'Comparación Base-Alt II'!F9*(1+$F$30)</f>
        <v>1188764.0435473844</v>
      </c>
      <c r="G9" s="115">
        <f t="shared" si="1"/>
        <v>86755.540823366726</v>
      </c>
      <c r="H9" s="133">
        <f t="shared" si="0"/>
        <v>338426.50432953879</v>
      </c>
      <c r="I9" s="95">
        <f>+'Beneficios exógenos'!V8*(1+$F$30)+'Beneficios exógenos'!J35*(1+$D$30)</f>
        <v>382173.16886271804</v>
      </c>
      <c r="J9" s="134">
        <f t="shared" si="2"/>
        <v>807355.21401562355</v>
      </c>
    </row>
    <row r="10" spans="2:10">
      <c r="B10" s="139">
        <v>2024</v>
      </c>
      <c r="C10" s="115">
        <f>+'Comparación Base-Alt II'!C10*(1+$C$30)</f>
        <v>11535.720144223615</v>
      </c>
      <c r="D10" s="176">
        <f>+'Comparación Base-Alt II'!D10*(1+$E$30)</f>
        <v>1376342.8641124265</v>
      </c>
      <c r="E10" s="115">
        <f>+'Comparación Base-Alt II'!E10*(1+$D$30)</f>
        <v>22550.04250534689</v>
      </c>
      <c r="F10" s="104">
        <f>+'Comparación Base-Alt II'!F10*(1+$F$30)</f>
        <v>1282978.7118533805</v>
      </c>
      <c r="G10" s="115">
        <f t="shared" si="1"/>
        <v>93364.152259045979</v>
      </c>
      <c r="H10" s="133">
        <f t="shared" si="0"/>
        <v>-11014.322361123275</v>
      </c>
      <c r="I10" s="95">
        <f>+'Beneficios exógenos'!V9*(1+$F$30)+'Beneficios exógenos'!J36*(1+$D$30)</f>
        <v>-306679.40122462972</v>
      </c>
      <c r="J10" s="134">
        <f t="shared" si="2"/>
        <v>-224329.57132670702</v>
      </c>
    </row>
    <row r="11" spans="2:10">
      <c r="B11" s="139">
        <v>2025</v>
      </c>
      <c r="C11" s="115">
        <f>+'Comparación Base-Alt II'!C11*(1+$C$30)</f>
        <v>11535.720144223615</v>
      </c>
      <c r="D11" s="176">
        <f>+'Comparación Base-Alt II'!D11*(1+$E$30)</f>
        <v>1485678.2986706248</v>
      </c>
      <c r="E11" s="115">
        <f>+'Comparación Base-Alt II'!E11*(1+$D$30)</f>
        <v>22550.04250534689</v>
      </c>
      <c r="F11" s="104">
        <f>+'Comparación Base-Alt II'!F11*(1+$F$30)</f>
        <v>1389008.8342451544</v>
      </c>
      <c r="G11" s="115">
        <f t="shared" si="1"/>
        <v>96669.464425470447</v>
      </c>
      <c r="H11" s="133">
        <f t="shared" si="0"/>
        <v>-11014.322361123275</v>
      </c>
      <c r="I11" s="95">
        <f>+'Beneficios exógenos'!V10*(1+$F$30)+'Beneficios exógenos'!J37*(1+$D$30)</f>
        <v>46289.074017123668</v>
      </c>
      <c r="J11" s="134">
        <f t="shared" si="2"/>
        <v>131944.21608147083</v>
      </c>
    </row>
    <row r="12" spans="2:10">
      <c r="B12" s="139">
        <v>2026</v>
      </c>
      <c r="C12" s="115">
        <f>+'Comparación Base-Alt II'!C12*(1+$C$30)</f>
        <v>11535.720144223615</v>
      </c>
      <c r="D12" s="176">
        <f>+'Comparación Base-Alt II'!D12*(1+$E$30)</f>
        <v>1605856.7324124074</v>
      </c>
      <c r="E12" s="115">
        <f>+'Comparación Base-Alt II'!E12*(1+$D$30)</f>
        <v>22550.04250534689</v>
      </c>
      <c r="F12" s="104">
        <f>+'Comparación Base-Alt II'!F12*(1+$F$30)</f>
        <v>1506957.3783109232</v>
      </c>
      <c r="G12" s="115">
        <f t="shared" si="1"/>
        <v>98899.354101484176</v>
      </c>
      <c r="H12" s="133">
        <f t="shared" si="0"/>
        <v>-11014.322361123275</v>
      </c>
      <c r="I12" s="95">
        <f>+'Beneficios exógenos'!V11*(1+$F$30)+'Beneficios exógenos'!J38*(1+$D$30)</f>
        <v>50882.65474387235</v>
      </c>
      <c r="J12" s="134">
        <f t="shared" si="2"/>
        <v>138767.68648423324</v>
      </c>
    </row>
    <row r="13" spans="2:10">
      <c r="B13" s="139">
        <v>2027</v>
      </c>
      <c r="C13" s="115">
        <f>+'Comparación Base-Alt II'!C13*(1+$C$30)</f>
        <v>11535.720144223615</v>
      </c>
      <c r="D13" s="176">
        <f>+'Comparación Base-Alt II'!D13*(1+$E$30)</f>
        <v>1737508.6506582927</v>
      </c>
      <c r="E13" s="115">
        <f>+'Comparación Base-Alt II'!E13*(1+$D$30)</f>
        <v>22550.04250534689</v>
      </c>
      <c r="F13" s="104">
        <f>+'Comparación Base-Alt II'!F13*(1+$F$30)</f>
        <v>1641442.3356950474</v>
      </c>
      <c r="G13" s="115">
        <f t="shared" si="1"/>
        <v>96066.314963245299</v>
      </c>
      <c r="H13" s="133">
        <f t="shared" si="0"/>
        <v>-11014.322361123275</v>
      </c>
      <c r="I13" s="95">
        <f>+'Beneficios exógenos'!V12*(1+$F$30)+'Beneficios exógenos'!J39*(1+$D$30)</f>
        <v>56071.311990122776</v>
      </c>
      <c r="J13" s="134">
        <f t="shared" si="2"/>
        <v>141123.30459224479</v>
      </c>
    </row>
    <row r="14" spans="2:10">
      <c r="B14" s="139">
        <v>2028</v>
      </c>
      <c r="C14" s="115">
        <f>+'Comparación Base-Alt II'!C14*(1+$C$30)</f>
        <v>11535.720144223615</v>
      </c>
      <c r="D14" s="176">
        <f>+'Comparación Base-Alt II'!D14*(1+$E$30)</f>
        <v>1893114.9058661147</v>
      </c>
      <c r="E14" s="115">
        <f>+'Comparación Base-Alt II'!E14*(1+$D$30)</f>
        <v>22550.04250534689</v>
      </c>
      <c r="F14" s="104">
        <f>+'Comparación Base-Alt II'!F14*(1+$F$30)</f>
        <v>1783088.9378994927</v>
      </c>
      <c r="G14" s="115">
        <f t="shared" si="1"/>
        <v>110025.96796662197</v>
      </c>
      <c r="H14" s="133">
        <f t="shared" si="0"/>
        <v>-11014.322361123275</v>
      </c>
      <c r="I14" s="95">
        <f>+'Beneficios exógenos'!V13*(1+$F$30)+'Beneficios exógenos'!J40*(1+$D$30)</f>
        <v>67318.408082019188</v>
      </c>
      <c r="J14" s="134">
        <f t="shared" si="2"/>
        <v>166330.05368751788</v>
      </c>
    </row>
    <row r="15" spans="2:10">
      <c r="B15" s="139">
        <v>2029</v>
      </c>
      <c r="C15" s="115">
        <f>+'Comparación Base-Alt II'!C15*(1+$C$30)</f>
        <v>360976.54683488567</v>
      </c>
      <c r="D15" s="176">
        <f>+'Comparación Base-Alt II'!D15*(1+$E$30)</f>
        <v>2019053.6521948739</v>
      </c>
      <c r="E15" s="115">
        <f>+'Comparación Base-Alt II'!E15*(1+$D$30)</f>
        <v>235350.68980739036</v>
      </c>
      <c r="F15" s="104">
        <f>+'Comparación Base-Alt II'!F15*(1+$F$30)</f>
        <v>1866275.4342588689</v>
      </c>
      <c r="G15" s="115">
        <f t="shared" si="1"/>
        <v>152778.21793600498</v>
      </c>
      <c r="H15" s="133">
        <f t="shared" si="0"/>
        <v>125625.85702749531</v>
      </c>
      <c r="I15" s="95">
        <f>+'Beneficios exógenos'!V14*(1+$F$30)+'Beneficios exógenos'!J41*(1+$D$30)</f>
        <v>409798.72989845567</v>
      </c>
      <c r="J15" s="134">
        <f t="shared" si="2"/>
        <v>688202.80486195593</v>
      </c>
    </row>
    <row r="16" spans="2:10">
      <c r="B16" s="139">
        <v>2030</v>
      </c>
      <c r="C16" s="115">
        <f>+'Comparación Base-Alt II'!C16*(1+$C$30)</f>
        <v>11535.720144223615</v>
      </c>
      <c r="D16" s="176">
        <f>+'Comparación Base-Alt II'!D16*(1+$E$30)</f>
        <v>2184804.8456530063</v>
      </c>
      <c r="E16" s="115">
        <f>+'Comparación Base-Alt II'!E16*(1+$D$30)</f>
        <v>22550.04250534689</v>
      </c>
      <c r="F16" s="104">
        <f>+'Comparación Base-Alt II'!F16*(1+$F$30)</f>
        <v>2018762.7387796249</v>
      </c>
      <c r="G16" s="115">
        <f t="shared" si="1"/>
        <v>166042.10687338142</v>
      </c>
      <c r="H16" s="133">
        <f t="shared" si="0"/>
        <v>-11014.322361123275</v>
      </c>
      <c r="I16" s="95">
        <f>+'Beneficios exógenos'!V15*(1+$F$30)+'Beneficios exógenos'!J42*(1+$D$30)</f>
        <v>65222.745556258364</v>
      </c>
      <c r="J16" s="134">
        <f t="shared" si="2"/>
        <v>220250.5300685165</v>
      </c>
    </row>
    <row r="17" spans="2:10">
      <c r="B17" s="139">
        <v>2031</v>
      </c>
      <c r="C17" s="115">
        <f>+'Comparación Base-Alt II'!C17*(1+$C$30)</f>
        <v>11535.720144223615</v>
      </c>
      <c r="D17" s="176">
        <f>+'Comparación Base-Alt II'!D17*(1+$E$30)</f>
        <v>2365121.0762771629</v>
      </c>
      <c r="E17" s="115">
        <f>+'Comparación Base-Alt II'!E17*(1+$D$30)</f>
        <v>22550.04250534689</v>
      </c>
      <c r="F17" s="104">
        <f>+'Comparación Base-Alt II'!F17*(1+$F$30)</f>
        <v>2183725.8674785323</v>
      </c>
      <c r="G17" s="115">
        <f t="shared" si="1"/>
        <v>181395.20879863063</v>
      </c>
      <c r="H17" s="133">
        <f t="shared" si="0"/>
        <v>-11014.322361123275</v>
      </c>
      <c r="I17" s="95">
        <f>+'Beneficios exógenos'!V16*(1+$F$30)+'Beneficios exógenos'!J43*(1+$D$30)</f>
        <v>68532.226369287935</v>
      </c>
      <c r="J17" s="134">
        <f t="shared" si="2"/>
        <v>238913.11280679528</v>
      </c>
    </row>
    <row r="18" spans="2:10">
      <c r="B18" s="139">
        <v>2032</v>
      </c>
      <c r="C18" s="115">
        <f>+'Comparación Base-Alt II'!C18*(1+$C$30)</f>
        <v>11535.720144223615</v>
      </c>
      <c r="D18" s="176">
        <f>+'Comparación Base-Alt II'!D18*(1+$E$30)</f>
        <v>2565596.1934347302</v>
      </c>
      <c r="E18" s="115">
        <f>+'Comparación Base-Alt II'!E18*(1+$D$30)</f>
        <v>22550.04250534689</v>
      </c>
      <c r="F18" s="104">
        <f>+'Comparación Base-Alt II'!F18*(1+$F$30)</f>
        <v>2364598.9989948892</v>
      </c>
      <c r="G18" s="115">
        <f t="shared" si="1"/>
        <v>200997.19443984097</v>
      </c>
      <c r="H18" s="133">
        <f t="shared" si="0"/>
        <v>-11014.322361123275</v>
      </c>
      <c r="I18" s="95">
        <f>+'Beneficios exógenos'!V17*(1+$F$30)+'Beneficios exógenos'!J44*(1+$D$30)</f>
        <v>69843.614982626634</v>
      </c>
      <c r="J18" s="134">
        <f t="shared" si="2"/>
        <v>259826.48706134432</v>
      </c>
    </row>
    <row r="19" spans="2:10">
      <c r="B19" s="139">
        <v>2033</v>
      </c>
      <c r="C19" s="115">
        <f>+'Comparación Base-Alt II'!C19*(1+$C$30)</f>
        <v>11535.720144223615</v>
      </c>
      <c r="D19" s="176">
        <f>+'Comparación Base-Alt II'!D19*(1+$E$30)</f>
        <v>2787508.8523533884</v>
      </c>
      <c r="E19" s="115">
        <f>+'Comparación Base-Alt II'!E19*(1+$D$30)</f>
        <v>22550.04250534689</v>
      </c>
      <c r="F19" s="104">
        <f>+'Comparación Base-Alt II'!F19*(1+$F$30)</f>
        <v>2560126.3181120157</v>
      </c>
      <c r="G19" s="115">
        <f t="shared" si="1"/>
        <v>227382.53424137272</v>
      </c>
      <c r="H19" s="133">
        <f t="shared" si="0"/>
        <v>-11014.322361123275</v>
      </c>
      <c r="I19" s="95">
        <f>+'Beneficios exógenos'!V18*(1+$F$30)+'Beneficios exógenos'!J45*(1+$D$30)</f>
        <v>-253495.92931059084</v>
      </c>
      <c r="J19" s="134">
        <f t="shared" si="2"/>
        <v>-37127.717430341399</v>
      </c>
    </row>
    <row r="20" spans="2:10">
      <c r="B20" s="139">
        <v>2034</v>
      </c>
      <c r="C20" s="115">
        <f>+'Comparación Base-Alt II'!C20*(1+$C$30)</f>
        <v>360976.54683488567</v>
      </c>
      <c r="D20" s="176">
        <f>+'Comparación Base-Alt II'!D20*(1+$E$30)</f>
        <v>2992979.2211318226</v>
      </c>
      <c r="E20" s="115">
        <f>+'Comparación Base-Alt II'!E20*(1+$D$30)</f>
        <v>22550.04250534689</v>
      </c>
      <c r="F20" s="104">
        <f>+'Comparación Base-Alt II'!F20*(1+$F$30)</f>
        <v>2776046.8740210342</v>
      </c>
      <c r="G20" s="115">
        <f t="shared" si="1"/>
        <v>216932.34711078834</v>
      </c>
      <c r="H20" s="133">
        <f t="shared" si="0"/>
        <v>338426.50432953879</v>
      </c>
      <c r="I20" s="95">
        <f>+'Beneficios exógenos'!V19*(1+$F$30)+'Beneficios exógenos'!J46*(1+$D$30)</f>
        <v>441918.80696950119</v>
      </c>
      <c r="J20" s="134">
        <f t="shared" si="2"/>
        <v>997277.65840982832</v>
      </c>
    </row>
    <row r="21" spans="2:10">
      <c r="B21" s="139">
        <v>2035</v>
      </c>
      <c r="C21" s="115">
        <f>+'Comparación Base-Alt II'!C21*(1+$C$30)</f>
        <v>11535.720144223615</v>
      </c>
      <c r="D21" s="176">
        <f>+'Comparación Base-Alt II'!D21*(1+$E$30)</f>
        <v>3244572.2561669988</v>
      </c>
      <c r="E21" s="115">
        <f>+'Comparación Base-Alt II'!E21*(1+$D$30)</f>
        <v>22550.04250534689</v>
      </c>
      <c r="F21" s="104">
        <f>+'Comparación Base-Alt II'!F21*(1+$F$30)</f>
        <v>3010303.340954551</v>
      </c>
      <c r="G21" s="115">
        <f t="shared" si="1"/>
        <v>234268.91521244776</v>
      </c>
      <c r="H21" s="133">
        <f t="shared" si="0"/>
        <v>-11014.322361123275</v>
      </c>
      <c r="I21" s="95">
        <f>+'Beneficios exógenos'!V20*(1+$F$30)+'Beneficios exógenos'!J47*(1+$D$30)</f>
        <v>101007.96015844075</v>
      </c>
      <c r="J21" s="134">
        <f t="shared" si="2"/>
        <v>324262.55300976522</v>
      </c>
    </row>
    <row r="22" spans="2:10">
      <c r="B22" s="139">
        <v>2036</v>
      </c>
      <c r="C22" s="115">
        <f>+'Comparación Base-Alt II'!C22*(1+$C$30)</f>
        <v>11535.720144223615</v>
      </c>
      <c r="D22" s="176">
        <f>+'Comparación Base-Alt II'!D22*(1+$E$30)</f>
        <v>3518506.3366208798</v>
      </c>
      <c r="E22" s="115">
        <f>+'Comparación Base-Alt II'!E22*(1+$D$30)</f>
        <v>22550.04250534689</v>
      </c>
      <c r="F22" s="104">
        <f>+'Comparación Base-Alt II'!F22*(1+$F$30)</f>
        <v>3273819.9765317151</v>
      </c>
      <c r="G22" s="115">
        <f t="shared" si="1"/>
        <v>244686.36008916469</v>
      </c>
      <c r="H22" s="133">
        <f t="shared" si="0"/>
        <v>-11014.322361123275</v>
      </c>
      <c r="I22" s="95">
        <f>+'Beneficios exógenos'!V21*(1+$F$30)+'Beneficios exógenos'!J48*(1+$D$30)</f>
        <v>109493.85765682813</v>
      </c>
      <c r="J22" s="134">
        <f t="shared" si="2"/>
        <v>343165.89538486954</v>
      </c>
    </row>
    <row r="23" spans="2:10">
      <c r="B23" s="139">
        <v>2037</v>
      </c>
      <c r="C23" s="115">
        <f>+'Comparación Base-Alt II'!C23*(1+$C$30)</f>
        <v>11535.720144223615</v>
      </c>
      <c r="D23" s="176">
        <f>+'Comparación Base-Alt II'!D23*(1+$E$30)</f>
        <v>3823124.8964276877</v>
      </c>
      <c r="E23" s="115">
        <f>+'Comparación Base-Alt II'!E23*(1+$D$30)</f>
        <v>22550.04250534689</v>
      </c>
      <c r="F23" s="104">
        <f>+'Comparación Base-Alt II'!F23*(1+$F$30)</f>
        <v>3567206.6151726902</v>
      </c>
      <c r="G23" s="115">
        <f t="shared" si="1"/>
        <v>255918.28125499748</v>
      </c>
      <c r="H23" s="133">
        <f t="shared" si="0"/>
        <v>-11014.322361123275</v>
      </c>
      <c r="I23" s="95">
        <f>+'Beneficios exógenos'!V22*(1+$F$30)+'Beneficios exógenos'!J49*(1+$D$30)</f>
        <v>122052.97644417896</v>
      </c>
      <c r="J23" s="134">
        <f t="shared" si="2"/>
        <v>366956.93533805315</v>
      </c>
    </row>
    <row r="24" spans="2:10">
      <c r="B24" s="139">
        <v>2038</v>
      </c>
      <c r="C24" s="115">
        <f>+'Comparación Base-Alt II'!C24*(1+$C$30)</f>
        <v>11535.720144223615</v>
      </c>
      <c r="D24" s="176">
        <f>+'Comparación Base-Alt II'!D24*(1+$E$30)</f>
        <v>4160444.7236442328</v>
      </c>
      <c r="E24" s="115">
        <f>+'Comparación Base-Alt II'!E24*(1+$D$30)</f>
        <v>22550.04250534689</v>
      </c>
      <c r="F24" s="104">
        <f>+'Comparación Base-Alt II'!F24*(1+$F$30)</f>
        <v>3901557.8661572039</v>
      </c>
      <c r="G24" s="115">
        <f t="shared" si="1"/>
        <v>258886.85748702893</v>
      </c>
      <c r="H24" s="133">
        <f t="shared" si="0"/>
        <v>-11014.322361123275</v>
      </c>
      <c r="I24" s="95">
        <f>+'Beneficios exógenos'!V23*(1+$F$30)+'Beneficios exógenos'!J50*(1+$D$30)</f>
        <v>135509.98356559128</v>
      </c>
      <c r="J24" s="134">
        <f t="shared" si="2"/>
        <v>383382.51869149692</v>
      </c>
    </row>
    <row r="25" spans="2:10" ht="15" thickBot="1">
      <c r="B25" s="140">
        <v>2039</v>
      </c>
      <c r="C25" s="116">
        <f>+'Comparación Base-Alt II'!C25*(1+$C$30)</f>
        <v>360976.54683488567</v>
      </c>
      <c r="D25" s="177">
        <f>+'Comparación Base-Alt II'!D25*(1+$E$30)</f>
        <v>4474549.7948972695</v>
      </c>
      <c r="E25" s="116">
        <f>+'Comparación Base-Alt II'!E25*(1+$D$30)</f>
        <v>22550.04250534689</v>
      </c>
      <c r="F25" s="93">
        <f>+'Alternativa II'!S26*(1+$F$30)</f>
        <v>4255637.5735879783</v>
      </c>
      <c r="G25" s="116">
        <f t="shared" si="1"/>
        <v>218912.2213092912</v>
      </c>
      <c r="H25" s="173">
        <f t="shared" si="0"/>
        <v>338426.50432953879</v>
      </c>
      <c r="I25" s="130">
        <f>+'Beneficios exógenos'!V24*(1+$F$30)+'Beneficios exógenos'!J51*(1+$D$30)+'Alternativa II'!J32*(1+'Sensibilidad Base-Alt I '!$D$30)</f>
        <v>2544142.0966996476</v>
      </c>
      <c r="J25" s="182">
        <f>+I25+G25+H25</f>
        <v>3101480.8223384777</v>
      </c>
    </row>
    <row r="26" spans="2:10">
      <c r="G26" s="94"/>
      <c r="I26" s="167" t="s">
        <v>114</v>
      </c>
      <c r="J26" s="168">
        <f>+NPV(0.1,J6:J25)+J5</f>
        <v>-160977.46249082265</v>
      </c>
    </row>
    <row r="27" spans="2:10" ht="15" thickBot="1">
      <c r="I27" s="145" t="s">
        <v>113</v>
      </c>
      <c r="J27" s="146">
        <f>+IRR(J5:J25)</f>
        <v>9.370554796565389E-2</v>
      </c>
    </row>
    <row r="28" spans="2:10">
      <c r="C28" s="289" t="s">
        <v>126</v>
      </c>
      <c r="D28" s="290"/>
      <c r="E28" s="300" t="s">
        <v>128</v>
      </c>
      <c r="F28" s="290"/>
    </row>
    <row r="29" spans="2:10" ht="15" thickBot="1">
      <c r="C29" s="183" t="s">
        <v>70</v>
      </c>
      <c r="D29" s="184" t="s">
        <v>130</v>
      </c>
      <c r="E29" s="185" t="s">
        <v>70</v>
      </c>
      <c r="F29" s="184" t="s">
        <v>130</v>
      </c>
    </row>
    <row r="30" spans="2:10" ht="15" thickBot="1">
      <c r="C30" s="186"/>
      <c r="D30" s="187"/>
      <c r="E30" s="188"/>
      <c r="F30" s="187"/>
    </row>
    <row r="32" spans="2:10" ht="15" thickBot="1">
      <c r="C32" s="303" t="s">
        <v>135</v>
      </c>
      <c r="D32" s="303"/>
    </row>
    <row r="33" spans="3:4">
      <c r="C33" s="239" t="s">
        <v>136</v>
      </c>
      <c r="D33" s="240">
        <v>-7.9133954999987988E-2</v>
      </c>
    </row>
    <row r="34" spans="3:4">
      <c r="C34" s="46" t="s">
        <v>137</v>
      </c>
      <c r="D34" s="235">
        <v>0.1027968903359877</v>
      </c>
    </row>
    <row r="35" spans="3:4" ht="15" thickBot="1">
      <c r="C35" s="230" t="s">
        <v>138</v>
      </c>
      <c r="D35" s="236">
        <v>4.4713278163272897E-2</v>
      </c>
    </row>
  </sheetData>
  <mergeCells count="6">
    <mergeCell ref="C32:D32"/>
    <mergeCell ref="B1:J1"/>
    <mergeCell ref="C3:D3"/>
    <mergeCell ref="E3:F3"/>
    <mergeCell ref="C28:D28"/>
    <mergeCell ref="E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workbookViewId="0">
      <selection activeCell="J14" sqref="J14"/>
    </sheetView>
  </sheetViews>
  <sheetFormatPr baseColWidth="10" defaultColWidth="9.109375" defaultRowHeight="14.4"/>
  <cols>
    <col min="3" max="3" width="12" bestFit="1" customWidth="1"/>
    <col min="4" max="4" width="12.88671875" bestFit="1" customWidth="1"/>
    <col min="5" max="5" width="22.44140625" bestFit="1" customWidth="1"/>
    <col min="6" max="6" width="25.6640625" bestFit="1" customWidth="1"/>
    <col min="7" max="7" width="21.109375" bestFit="1" customWidth="1"/>
  </cols>
  <sheetData>
    <row r="1" spans="2:7">
      <c r="B1" s="268" t="s">
        <v>115</v>
      </c>
      <c r="C1" s="268"/>
      <c r="D1" s="268"/>
      <c r="E1" s="268"/>
      <c r="F1" s="268"/>
      <c r="G1" s="268"/>
    </row>
    <row r="3" spans="2:7">
      <c r="B3" s="102" t="s">
        <v>55</v>
      </c>
      <c r="C3" s="102" t="s">
        <v>95</v>
      </c>
      <c r="D3" s="102" t="s">
        <v>96</v>
      </c>
      <c r="E3" s="102" t="s">
        <v>97</v>
      </c>
      <c r="F3" s="102" t="s">
        <v>98</v>
      </c>
      <c r="G3" s="102" t="s">
        <v>99</v>
      </c>
    </row>
    <row r="4" spans="2:7">
      <c r="B4" s="103">
        <v>2017</v>
      </c>
      <c r="C4" s="64">
        <v>1698.06</v>
      </c>
      <c r="D4" s="64">
        <v>57.11999999999999</v>
      </c>
      <c r="E4" s="64">
        <v>277.06</v>
      </c>
      <c r="F4" s="64">
        <v>54.18</v>
      </c>
      <c r="G4" s="64">
        <v>210.56</v>
      </c>
    </row>
    <row r="5" spans="2:7">
      <c r="B5" s="103">
        <v>2018</v>
      </c>
      <c r="C5" s="64">
        <v>1797.2368923599997</v>
      </c>
      <c r="D5" s="64">
        <v>57.548628479999991</v>
      </c>
      <c r="E5" s="64">
        <v>283.19521663999996</v>
      </c>
      <c r="F5" s="64">
        <v>58.458377880000008</v>
      </c>
      <c r="G5" s="64">
        <v>221.62450687999998</v>
      </c>
    </row>
    <row r="6" spans="2:7">
      <c r="B6" s="103">
        <v>2019</v>
      </c>
      <c r="C6" s="64">
        <v>1965.1879610562848</v>
      </c>
      <c r="D6" s="64">
        <v>58.239580332982257</v>
      </c>
      <c r="E6" s="64">
        <v>293.22893644364189</v>
      </c>
      <c r="F6" s="64">
        <v>65.844336708275335</v>
      </c>
      <c r="G6" s="64">
        <v>240.25798622004837</v>
      </c>
    </row>
    <row r="7" spans="2:7">
      <c r="B7" s="103">
        <v>2020</v>
      </c>
      <c r="C7" s="64">
        <v>2160.3118667471554</v>
      </c>
      <c r="D7" s="64">
        <v>58.98253101137405</v>
      </c>
      <c r="E7" s="64">
        <v>304.26748111027547</v>
      </c>
      <c r="F7" s="64">
        <v>74.683425325534984</v>
      </c>
      <c r="G7" s="64">
        <v>261.72061654186319</v>
      </c>
    </row>
    <row r="8" spans="2:7">
      <c r="B8" s="103">
        <v>2021</v>
      </c>
      <c r="C8" s="64">
        <v>2362.1921465699306</v>
      </c>
      <c r="D8" s="64">
        <v>59.69069887170901</v>
      </c>
      <c r="E8" s="64">
        <v>315.04779967300499</v>
      </c>
      <c r="F8" s="64">
        <v>84.119347508344902</v>
      </c>
      <c r="G8" s="64">
        <v>283.72524847473017</v>
      </c>
    </row>
    <row r="9" spans="2:7">
      <c r="B9" s="103">
        <v>2022</v>
      </c>
      <c r="C9" s="64">
        <v>2576.0397480644042</v>
      </c>
      <c r="D9" s="64">
        <v>60.384973328425637</v>
      </c>
      <c r="E9" s="64">
        <v>325.86124831074147</v>
      </c>
      <c r="F9" s="64">
        <v>94.415328521128046</v>
      </c>
      <c r="G9" s="64">
        <v>306.83449972784786</v>
      </c>
    </row>
    <row r="10" spans="2:7">
      <c r="B10" s="103">
        <v>2023</v>
      </c>
      <c r="C10" s="64">
        <v>2801.7240143525787</v>
      </c>
      <c r="D10" s="64">
        <v>61.064666588210386</v>
      </c>
      <c r="E10" s="64">
        <v>336.68505553463103</v>
      </c>
      <c r="F10" s="64">
        <v>105.59872976912716</v>
      </c>
      <c r="G10" s="64">
        <v>331.01980866539623</v>
      </c>
    </row>
    <row r="11" spans="2:7">
      <c r="B11" s="103">
        <v>2024</v>
      </c>
      <c r="C11" s="64">
        <v>3047.180253525994</v>
      </c>
      <c r="D11" s="64">
        <v>61.752010475327282</v>
      </c>
      <c r="E11" s="64">
        <v>347.86838633926931</v>
      </c>
      <c r="F11" s="64">
        <v>118.10679371155049</v>
      </c>
      <c r="G11" s="64">
        <v>357.11145202402008</v>
      </c>
    </row>
    <row r="12" spans="2:7">
      <c r="B12" s="103">
        <v>2025</v>
      </c>
      <c r="C12" s="64">
        <v>3314.1406683571527</v>
      </c>
      <c r="D12" s="64">
        <v>62.447091105237561</v>
      </c>
      <c r="E12" s="64">
        <v>359.42318265991452</v>
      </c>
      <c r="F12" s="64">
        <v>132.09642531988993</v>
      </c>
      <c r="G12" s="64">
        <v>385.25969089545737</v>
      </c>
    </row>
    <row r="13" spans="2:7">
      <c r="B13" s="103">
        <v>2026</v>
      </c>
      <c r="C13" s="64">
        <v>3604.4892181712544</v>
      </c>
      <c r="D13" s="64">
        <v>63.149995562718111</v>
      </c>
      <c r="E13" s="64">
        <v>371.36178309514622</v>
      </c>
      <c r="F13" s="64">
        <v>147.74311480260559</v>
      </c>
      <c r="G13" s="64">
        <v>415.62663025121907</v>
      </c>
    </row>
    <row r="14" spans="2:7">
      <c r="B14" s="103">
        <v>2027</v>
      </c>
      <c r="C14" s="64">
        <v>3920.2749140860201</v>
      </c>
      <c r="D14" s="64">
        <v>63.860811912772064</v>
      </c>
      <c r="E14" s="64">
        <v>383.6969360824346</v>
      </c>
      <c r="F14" s="64">
        <v>165.24313900785941</v>
      </c>
      <c r="G14" s="64">
        <v>448.38715250088063</v>
      </c>
    </row>
    <row r="15" spans="2:7">
      <c r="B15" s="103">
        <v>2028</v>
      </c>
      <c r="C15" s="64">
        <v>4263.726279034182</v>
      </c>
      <c r="D15" s="64">
        <v>64.579629211662223</v>
      </c>
      <c r="E15" s="64">
        <v>396.4418135113487</v>
      </c>
      <c r="F15" s="64">
        <v>184.81602358020135</v>
      </c>
      <c r="G15" s="64">
        <v>483.729924635305</v>
      </c>
    </row>
    <row r="16" spans="2:7">
      <c r="B16" s="103">
        <v>2029</v>
      </c>
      <c r="C16" s="64">
        <v>4637.2670746140875</v>
      </c>
      <c r="D16" s="64">
        <v>65.30653751806868</v>
      </c>
      <c r="E16" s="64">
        <v>409.61002478894159</v>
      </c>
      <c r="F16" s="64">
        <v>206.70729675725264</v>
      </c>
      <c r="G16" s="64">
        <v>521.858484754909</v>
      </c>
    </row>
    <row r="17" spans="2:7">
      <c r="B17" s="103">
        <v>2030</v>
      </c>
      <c r="C17" s="64">
        <v>5043.533405753954</v>
      </c>
      <c r="D17" s="64">
        <v>66.041627904372049</v>
      </c>
      <c r="E17" s="64">
        <v>423.21563137233102</v>
      </c>
      <c r="F17" s="64">
        <v>231.19156935085249</v>
      </c>
      <c r="G17" s="64">
        <v>562.99241424026036</v>
      </c>
    </row>
    <row r="18" spans="2:7">
      <c r="B18" s="103">
        <v>2031</v>
      </c>
      <c r="C18" s="64">
        <v>5485.3923238986526</v>
      </c>
      <c r="D18" s="64">
        <v>66.784992468063663</v>
      </c>
      <c r="E18" s="64">
        <v>437.27316178399434</v>
      </c>
      <c r="F18" s="64">
        <v>258.57597954889161</v>
      </c>
      <c r="G18" s="64">
        <v>607.36860231550611</v>
      </c>
    </row>
    <row r="19" spans="2:7">
      <c r="B19" s="103">
        <v>2032</v>
      </c>
      <c r="C19" s="64">
        <v>5965.9620600030894</v>
      </c>
      <c r="D19" s="64">
        <v>67.536724343284178</v>
      </c>
      <c r="E19" s="64">
        <v>451.7976271258114</v>
      </c>
      <c r="F19" s="64">
        <v>289.20404575047826</v>
      </c>
      <c r="G19" s="64">
        <v>655.24261028721889</v>
      </c>
    </row>
    <row r="20" spans="2:7">
      <c r="B20" s="103">
        <v>2033</v>
      </c>
      <c r="C20" s="64">
        <v>6488.6340301179007</v>
      </c>
      <c r="D20" s="64">
        <v>68.296917712492188</v>
      </c>
      <c r="E20" s="64">
        <v>466.80453710842238</v>
      </c>
      <c r="F20" s="64">
        <v>323.4599757655767</v>
      </c>
      <c r="G20" s="64">
        <v>706.89014331527801</v>
      </c>
    </row>
    <row r="21" spans="2:7">
      <c r="B21" s="103">
        <v>2034</v>
      </c>
      <c r="C21" s="64">
        <v>7057.0967688624996</v>
      </c>
      <c r="D21" s="64">
        <v>69.065667818264004</v>
      </c>
      <c r="E21" s="64">
        <v>482.30991661301567</v>
      </c>
      <c r="F21" s="64">
        <v>361.77348643503348</v>
      </c>
      <c r="G21" s="64">
        <v>762.6086381916748</v>
      </c>
    </row>
    <row r="22" spans="2:7">
      <c r="B22" s="103">
        <v>2035</v>
      </c>
      <c r="C22" s="64">
        <v>7675.3619596857743</v>
      </c>
      <c r="D22" s="64">
        <v>69.843070975226382</v>
      </c>
      <c r="E22" s="64">
        <v>498.33032280323357</v>
      </c>
      <c r="F22" s="64">
        <v>404.62519412977673</v>
      </c>
      <c r="G22" s="64">
        <v>822.71897627121893</v>
      </c>
    </row>
    <row r="23" spans="2:7">
      <c r="B23" s="103">
        <v>2036</v>
      </c>
      <c r="C23" s="64">
        <v>8347.7927456118869</v>
      </c>
      <c r="D23" s="64">
        <v>70.629224582123527</v>
      </c>
      <c r="E23" s="64">
        <v>514.88286280546572</v>
      </c>
      <c r="F23" s="64">
        <v>452.55264374925463</v>
      </c>
      <c r="G23" s="64">
        <v>887.567331418869</v>
      </c>
    </row>
    <row r="24" spans="2:7">
      <c r="B24" s="103">
        <v>2037</v>
      </c>
      <c r="C24" s="64">
        <v>9079.1345202621978</v>
      </c>
      <c r="D24" s="64">
        <v>71.424227134019901</v>
      </c>
      <c r="E24" s="64">
        <v>531.98521197641207</v>
      </c>
      <c r="F24" s="64">
        <v>506.15705184871013</v>
      </c>
      <c r="G24" s="64">
        <v>957.52716361596708</v>
      </c>
    </row>
    <row r="25" spans="2:7">
      <c r="B25" s="103">
        <v>2038</v>
      </c>
      <c r="C25" s="64">
        <v>9874.5484164478494</v>
      </c>
      <c r="D25" s="64">
        <v>72.228178234640424</v>
      </c>
      <c r="E25" s="64">
        <v>549.65563277742046</v>
      </c>
      <c r="F25" s="64">
        <v>566.11084848313794</v>
      </c>
      <c r="G25" s="64">
        <v>1033.0013697065049</v>
      </c>
    </row>
    <row r="26" spans="2:7">
      <c r="B26" s="103">
        <v>2039</v>
      </c>
      <c r="C26" s="64">
        <v>10739.647728664429</v>
      </c>
      <c r="D26" s="64">
        <v>73.041178608849535</v>
      </c>
      <c r="E26" s="64">
        <v>567.9129942757553</v>
      </c>
      <c r="F26" s="64">
        <v>633.16611237511722</v>
      </c>
      <c r="G26" s="64">
        <v>1114.4246036695108</v>
      </c>
    </row>
  </sheetData>
  <mergeCells count="1">
    <mergeCell ref="B1:G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Normal="100" workbookViewId="0">
      <selection activeCell="E36" sqref="E36"/>
    </sheetView>
  </sheetViews>
  <sheetFormatPr baseColWidth="10" defaultColWidth="9.109375" defaultRowHeight="14.4"/>
  <cols>
    <col min="3" max="3" width="11" customWidth="1"/>
    <col min="4" max="5" width="4.33203125" customWidth="1"/>
    <col min="6" max="6" width="12" bestFit="1" customWidth="1"/>
    <col min="7" max="7" width="12.5546875" bestFit="1" customWidth="1"/>
    <col min="8" max="8" width="12" bestFit="1" customWidth="1"/>
    <col min="9" max="9" width="11.5546875" bestFit="1" customWidth="1"/>
    <col min="10" max="10" width="9.109375" bestFit="1" customWidth="1"/>
    <col min="11" max="11" width="9.6640625" customWidth="1"/>
    <col min="12" max="12" width="10.33203125" customWidth="1"/>
    <col min="13" max="13" width="10.44140625" customWidth="1"/>
    <col min="14" max="14" width="9.5546875" bestFit="1" customWidth="1"/>
    <col min="16" max="16" width="10.109375" customWidth="1"/>
    <col min="17" max="17" width="9.6640625" customWidth="1"/>
    <col min="18" max="18" width="10.44140625" customWidth="1"/>
    <col min="19" max="20" width="14.33203125" bestFit="1" customWidth="1"/>
  </cols>
  <sheetData>
    <row r="2" spans="2:20" ht="18">
      <c r="B2" s="271" t="s">
        <v>70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0" ht="15" thickBot="1"/>
    <row r="4" spans="2:20">
      <c r="B4" s="272" t="s">
        <v>69</v>
      </c>
      <c r="C4" s="273"/>
      <c r="D4" s="273"/>
      <c r="E4" s="273"/>
      <c r="F4" s="273"/>
      <c r="G4" s="273"/>
      <c r="H4" s="274"/>
      <c r="I4" s="275" t="s">
        <v>52</v>
      </c>
      <c r="J4" s="276"/>
      <c r="K4" s="276"/>
      <c r="L4" s="276"/>
      <c r="M4" s="277"/>
      <c r="N4" s="275" t="s">
        <v>53</v>
      </c>
      <c r="O4" s="276"/>
      <c r="P4" s="276"/>
      <c r="Q4" s="276"/>
      <c r="R4" s="277"/>
      <c r="S4" s="275" t="s">
        <v>54</v>
      </c>
      <c r="T4" s="277"/>
    </row>
    <row r="5" spans="2:20" ht="28.95" customHeight="1">
      <c r="B5" s="96" t="s">
        <v>55</v>
      </c>
      <c r="C5" s="97" t="s">
        <v>56</v>
      </c>
      <c r="D5" s="97" t="s">
        <v>57</v>
      </c>
      <c r="E5" s="97"/>
      <c r="F5" s="98" t="s">
        <v>58</v>
      </c>
      <c r="G5" s="98" t="s">
        <v>62</v>
      </c>
      <c r="H5" s="100" t="s">
        <v>59</v>
      </c>
      <c r="I5" s="99" t="s">
        <v>63</v>
      </c>
      <c r="J5" s="98" t="s">
        <v>64</v>
      </c>
      <c r="K5" s="98" t="s">
        <v>65</v>
      </c>
      <c r="L5" s="98" t="s">
        <v>66</v>
      </c>
      <c r="M5" s="100" t="s">
        <v>67</v>
      </c>
      <c r="N5" s="99" t="s">
        <v>63</v>
      </c>
      <c r="O5" s="98" t="s">
        <v>64</v>
      </c>
      <c r="P5" s="98" t="s">
        <v>65</v>
      </c>
      <c r="Q5" s="98" t="s">
        <v>66</v>
      </c>
      <c r="R5" s="100" t="s">
        <v>67</v>
      </c>
      <c r="S5" s="96" t="s">
        <v>60</v>
      </c>
      <c r="T5" s="100" t="s">
        <v>68</v>
      </c>
    </row>
    <row r="6" spans="2:20" ht="13.95" customHeight="1">
      <c r="B6" s="50">
        <v>2017</v>
      </c>
      <c r="C6" s="51"/>
      <c r="D6" s="52">
        <v>1.98</v>
      </c>
      <c r="E6" s="53">
        <f t="shared" ref="E6:E8" si="0">+ROUND(D6,1)</f>
        <v>2</v>
      </c>
      <c r="F6" s="54"/>
      <c r="G6" s="55"/>
      <c r="H6" s="56"/>
      <c r="I6" s="61"/>
      <c r="J6" s="54"/>
      <c r="K6" s="54"/>
      <c r="L6" s="54"/>
      <c r="M6" s="56"/>
      <c r="N6" s="61"/>
      <c r="O6" s="54"/>
      <c r="P6" s="54"/>
      <c r="Q6" s="54"/>
      <c r="R6" s="56"/>
      <c r="S6" s="62"/>
      <c r="T6" s="56"/>
    </row>
    <row r="7" spans="2:20" ht="13.95" customHeight="1">
      <c r="B7" s="50">
        <v>2018</v>
      </c>
      <c r="C7" s="51"/>
      <c r="D7" s="53">
        <f>+IF(D6&lt;$B$32,D6+$C$32,(IF(D6&lt;$B$33,D6+$C$33,(IF(D6&lt;$B$34,D6+$C$34,D6+$C$35)))))</f>
        <v>2.23</v>
      </c>
      <c r="E7" s="53">
        <f t="shared" si="0"/>
        <v>2.2000000000000002</v>
      </c>
      <c r="F7" s="54"/>
      <c r="G7" s="55"/>
      <c r="H7" s="56"/>
      <c r="I7" s="61"/>
      <c r="J7" s="54"/>
      <c r="K7" s="54"/>
      <c r="L7" s="54"/>
      <c r="M7" s="56"/>
      <c r="N7" s="61"/>
      <c r="O7" s="54"/>
      <c r="P7" s="54"/>
      <c r="Q7" s="54"/>
      <c r="R7" s="56"/>
      <c r="S7" s="62"/>
      <c r="T7" s="56"/>
    </row>
    <row r="8" spans="2:20" ht="13.95" customHeight="1">
      <c r="B8" s="50">
        <v>2019</v>
      </c>
      <c r="C8" s="51"/>
      <c r="D8" s="53">
        <f t="shared" ref="D8:D27" si="1">+IF(D7&lt;$B$32,D7+$C$32,(IF(D7&lt;$B$33,D7+$C$33,(IF(D7&lt;$B$34,D7+$C$34,D7+$C$35)))))</f>
        <v>2.48</v>
      </c>
      <c r="E8" s="53">
        <f t="shared" si="0"/>
        <v>2.5</v>
      </c>
      <c r="F8" s="54"/>
      <c r="G8" s="55"/>
      <c r="H8" s="56"/>
      <c r="I8" s="61"/>
      <c r="J8" s="54"/>
      <c r="K8" s="54"/>
      <c r="L8" s="54"/>
      <c r="M8" s="56"/>
      <c r="N8" s="61"/>
      <c r="O8" s="54"/>
      <c r="P8" s="54"/>
      <c r="Q8" s="54"/>
      <c r="R8" s="56"/>
      <c r="S8" s="62"/>
      <c r="T8" s="56"/>
    </row>
    <row r="9" spans="2:20">
      <c r="B9" s="6">
        <v>2020</v>
      </c>
      <c r="C9" s="45">
        <f t="shared" ref="C9:C28" si="2">+SUM(F9:H9)*$C$39</f>
        <v>11535.720144223615</v>
      </c>
      <c r="D9" s="40">
        <f t="shared" si="1"/>
        <v>2.73</v>
      </c>
      <c r="E9" s="40">
        <f>+ROUND(D9,1)</f>
        <v>2.7</v>
      </c>
      <c r="F9" s="2"/>
      <c r="G9" s="89">
        <f>+IF(F9="",'Costos de Conservación'!$G$46,'Costos de Conservación'!$G$46*0.4)</f>
        <v>6660.3004561638536</v>
      </c>
      <c r="H9" s="7" t="str">
        <f>+IF(F9="","",F9*0.03)</f>
        <v/>
      </c>
      <c r="I9" s="63">
        <f>+TPDA!C7</f>
        <v>2160.3118667471554</v>
      </c>
      <c r="J9" s="64">
        <f>+TPDA!D7</f>
        <v>58.98253101137405</v>
      </c>
      <c r="K9" s="64">
        <f>+TPDA!E7</f>
        <v>304.26748111027547</v>
      </c>
      <c r="L9" s="64">
        <f>+TPDA!F7</f>
        <v>74.683425325534984</v>
      </c>
      <c r="M9" s="65">
        <f>+TPDA!G7</f>
        <v>261.72061654186319</v>
      </c>
      <c r="N9" s="109">
        <f>+VLOOKUP($E9,'VOC Urbano 50km'!$A$5:$P$32,3,0)+VLOOKUP($E9,'VOC Urbano 50km'!$A$5:$P$32,4,0)</f>
        <v>0.445745</v>
      </c>
      <c r="O9" s="110">
        <f>+VLOOKUP($E9,'VOC Urbano 50km'!$A$5:$P$32,6,0)+VLOOKUP($E9,'VOC Urbano 50km'!$A$5:$P$32,7,0)</f>
        <v>1.7600199999999999</v>
      </c>
      <c r="P9" s="110">
        <f>+VLOOKUP($E9,'VOC Urbano 50km'!$A$5:$P$32,9,0)+VLOOKUP($E9,'VOC Urbano 50km'!$A$5:$P$32,10,0)</f>
        <v>0.57725499999999996</v>
      </c>
      <c r="Q9" s="110">
        <f>+VLOOKUP($E9,'VOC Urbano 50km'!$A$5:$P$32,12,0)+VLOOKUP($E9,'VOC Urbano 50km'!$A$5:$P$32,13,0)</f>
        <v>0.93347000000000002</v>
      </c>
      <c r="R9" s="111">
        <f>+VLOOKUP($E9,'VOC Urbano 50km'!$A$5:$P$32,15,0)+VLOOKUP($E9,'VOC Urbano 50km'!$A$5:$P$32,16,0)</f>
        <v>1.1274350000000002</v>
      </c>
      <c r="S9" s="115">
        <f t="shared" ref="S9:S28" si="3">SUMPRODUCT(I9:M9,N9:R9)*365*$C$39</f>
        <v>1016038.0548999942</v>
      </c>
      <c r="T9" s="104">
        <f>S9+C9</f>
        <v>1027573.7750442178</v>
      </c>
    </row>
    <row r="10" spans="2:20">
      <c r="B10" s="6">
        <v>2021</v>
      </c>
      <c r="C10" s="45">
        <f t="shared" si="2"/>
        <v>11535.720144223615</v>
      </c>
      <c r="D10" s="40">
        <f t="shared" si="1"/>
        <v>2.98</v>
      </c>
      <c r="E10" s="40">
        <f t="shared" ref="E10:E28" si="4">+ROUND(D10,1)</f>
        <v>3</v>
      </c>
      <c r="F10" s="2"/>
      <c r="G10" s="89">
        <f>+IF(F10="",'Costos de Conservación'!$G$46,'Costos de Conservación'!$G$46*0.4)</f>
        <v>6660.3004561638536</v>
      </c>
      <c r="H10" s="7" t="str">
        <f t="shared" ref="H10:H28" si="5">+IF(F10="","",F10*0.03)</f>
        <v/>
      </c>
      <c r="I10" s="63">
        <f>+TPDA!C8</f>
        <v>2362.1921465699306</v>
      </c>
      <c r="J10" s="64">
        <f>+TPDA!D8</f>
        <v>59.69069887170901</v>
      </c>
      <c r="K10" s="64">
        <f>+TPDA!E8</f>
        <v>315.04779967300499</v>
      </c>
      <c r="L10" s="64">
        <f>+TPDA!F8</f>
        <v>84.119347508344902</v>
      </c>
      <c r="M10" s="65">
        <f>+TPDA!G8</f>
        <v>283.72524847473017</v>
      </c>
      <c r="N10" s="109">
        <f>+VLOOKUP($E10,'VOC Urbano 50km'!$A$5:$P$32,3,0)+VLOOKUP($E10,'VOC Urbano 50km'!$A$5:$P$32,4,0)</f>
        <v>0.44634000000000001</v>
      </c>
      <c r="O10" s="110">
        <f>+VLOOKUP($E10,'VOC Urbano 50km'!$A$5:$P$32,6,0)+VLOOKUP($E10,'VOC Urbano 50km'!$A$5:$P$32,7,0)</f>
        <v>1.7663199999999999</v>
      </c>
      <c r="P10" s="110">
        <f>+VLOOKUP($E10,'VOC Urbano 50km'!$A$5:$P$32,9,0)+VLOOKUP($E10,'VOC Urbano 50km'!$A$5:$P$32,10,0)</f>
        <v>0.57978999999999992</v>
      </c>
      <c r="Q10" s="110">
        <f>+VLOOKUP($E10,'VOC Urbano 50km'!$A$5:$P$32,12,0)+VLOOKUP($E10,'VOC Urbano 50km'!$A$5:$P$32,13,0)</f>
        <v>0.93850999999999996</v>
      </c>
      <c r="R10" s="111">
        <f>+VLOOKUP($E10,'VOC Urbano 50km'!$A$5:$P$32,15,0)+VLOOKUP($E10,'VOC Urbano 50km'!$A$5:$P$32,16,0)</f>
        <v>1.1336200000000001</v>
      </c>
      <c r="S10" s="115">
        <f t="shared" si="3"/>
        <v>1101909.209530069</v>
      </c>
      <c r="T10" s="104">
        <f t="shared" ref="T10:T28" si="6">S10+C10</f>
        <v>1113444.9296742927</v>
      </c>
    </row>
    <row r="11" spans="2:20">
      <c r="B11" s="6">
        <v>2022</v>
      </c>
      <c r="C11" s="45">
        <f t="shared" si="2"/>
        <v>11535.720144223615</v>
      </c>
      <c r="D11" s="40">
        <f t="shared" si="1"/>
        <v>3.23</v>
      </c>
      <c r="E11" s="40">
        <f t="shared" si="4"/>
        <v>3.2</v>
      </c>
      <c r="F11" s="2"/>
      <c r="G11" s="89">
        <f>+IF(F11="",'Costos de Conservación'!$G$46,'Costos de Conservación'!$G$46*0.4)</f>
        <v>6660.3004561638536</v>
      </c>
      <c r="H11" s="7" t="str">
        <f t="shared" si="5"/>
        <v/>
      </c>
      <c r="I11" s="63">
        <f>+TPDA!C9</f>
        <v>2576.0397480644042</v>
      </c>
      <c r="J11" s="64">
        <f>+TPDA!D9</f>
        <v>60.384973328425637</v>
      </c>
      <c r="K11" s="64">
        <f>+TPDA!E9</f>
        <v>325.86124831074147</v>
      </c>
      <c r="L11" s="64">
        <f>+TPDA!F9</f>
        <v>94.415328521128046</v>
      </c>
      <c r="M11" s="65">
        <f>+TPDA!G9</f>
        <v>306.83449972784786</v>
      </c>
      <c r="N11" s="109">
        <f>+VLOOKUP($E11,'VOC Urbano 50km'!$A$5:$P$32,3,0)+VLOOKUP($E11,'VOC Urbano 50km'!$A$5:$P$32,4,0)</f>
        <v>0.44723999999999997</v>
      </c>
      <c r="O11" s="110">
        <f>+VLOOKUP($E11,'VOC Urbano 50km'!$A$5:$P$32,6,0)+VLOOKUP($E11,'VOC Urbano 50km'!$A$5:$P$32,7,0)</f>
        <v>1.7766600000000001</v>
      </c>
      <c r="P11" s="110">
        <f>+VLOOKUP($E11,'VOC Urbano 50km'!$A$5:$P$32,9,0)+VLOOKUP($E11,'VOC Urbano 50km'!$A$5:$P$32,10,0)</f>
        <v>0.58375999999999995</v>
      </c>
      <c r="Q11" s="110">
        <f>+VLOOKUP($E11,'VOC Urbano 50km'!$A$5:$P$32,12,0)+VLOOKUP($E11,'VOC Urbano 50km'!$A$5:$P$32,13,0)</f>
        <v>0.94584999999999997</v>
      </c>
      <c r="R11" s="111">
        <f>+VLOOKUP($E11,'VOC Urbano 50km'!$A$5:$P$32,15,0)+VLOOKUP($E11,'VOC Urbano 50km'!$A$5:$P$32,16,0)</f>
        <v>1.14242</v>
      </c>
      <c r="S11" s="115">
        <f t="shared" si="3"/>
        <v>1194482.6264720662</v>
      </c>
      <c r="T11" s="104">
        <f t="shared" si="6"/>
        <v>1206018.3466162898</v>
      </c>
    </row>
    <row r="12" spans="2:20">
      <c r="B12" s="46">
        <v>2023</v>
      </c>
      <c r="C12" s="49">
        <f t="shared" si="2"/>
        <v>360976.54683488567</v>
      </c>
      <c r="D12" s="47">
        <v>2</v>
      </c>
      <c r="E12" s="47">
        <f t="shared" si="4"/>
        <v>2</v>
      </c>
      <c r="F12" s="105">
        <f>+'Costos de Conservación'!$J$9</f>
        <v>199757.72719488418</v>
      </c>
      <c r="G12" s="105">
        <f>+IF(F12="",'Costos de Conservación'!$G$46,'Costos de Conservación'!$G$46*0.4)</f>
        <v>2664.1201824655418</v>
      </c>
      <c r="H12" s="106">
        <f t="shared" si="5"/>
        <v>5992.731815846525</v>
      </c>
      <c r="I12" s="63">
        <f>+TPDA!C10</f>
        <v>2801.7240143525787</v>
      </c>
      <c r="J12" s="64">
        <f>+TPDA!D10</f>
        <v>61.064666588210386</v>
      </c>
      <c r="K12" s="64">
        <f>+TPDA!E10</f>
        <v>336.68505553463103</v>
      </c>
      <c r="L12" s="64">
        <f>+TPDA!F10</f>
        <v>105.59872976912716</v>
      </c>
      <c r="M12" s="65">
        <f>+TPDA!G10</f>
        <v>331.01980866539623</v>
      </c>
      <c r="N12" s="109">
        <f>+VLOOKUP($E12,'VOC Urbano 50km'!$A$5:$P$32,3,0)+VLOOKUP($E12,'VOC Urbano 50km'!$A$5:$P$32,4,0)</f>
        <v>0.44525000000000003</v>
      </c>
      <c r="O12" s="110">
        <f>+VLOOKUP($E12,'VOC Urbano 50km'!$A$5:$P$32,6,0)+VLOOKUP($E12,'VOC Urbano 50km'!$A$5:$P$32,7,0)</f>
        <v>1.75613</v>
      </c>
      <c r="P12" s="110">
        <f>+VLOOKUP($E12,'VOC Urbano 50km'!$A$5:$P$32,9,0)+VLOOKUP($E12,'VOC Urbano 50km'!$A$5:$P$32,10,0)</f>
        <v>0.57532000000000005</v>
      </c>
      <c r="Q12" s="110">
        <f>+VLOOKUP($E12,'VOC Urbano 50km'!$A$5:$P$32,12,0)+VLOOKUP($E12,'VOC Urbano 50km'!$A$5:$P$32,13,0)</f>
        <v>0.92876000000000003</v>
      </c>
      <c r="R12" s="111">
        <f>+VLOOKUP($E12,'VOC Urbano 50km'!$A$5:$P$32,15,0)+VLOOKUP($E12,'VOC Urbano 50km'!$A$5:$P$32,16,0)</f>
        <v>1.1212499999999999</v>
      </c>
      <c r="S12" s="115">
        <f t="shared" si="3"/>
        <v>1275519.5843707512</v>
      </c>
      <c r="T12" s="104">
        <f t="shared" si="6"/>
        <v>1636496.1312056368</v>
      </c>
    </row>
    <row r="13" spans="2:20">
      <c r="B13" s="6">
        <v>2024</v>
      </c>
      <c r="C13" s="45">
        <f t="shared" si="2"/>
        <v>11535.720144223615</v>
      </c>
      <c r="D13" s="40">
        <f t="shared" si="1"/>
        <v>2.25</v>
      </c>
      <c r="E13" s="40">
        <f t="shared" si="4"/>
        <v>2.2999999999999998</v>
      </c>
      <c r="F13" s="89"/>
      <c r="G13" s="89">
        <f>+IF(F13="",'Costos de Conservación'!$G$46,'Costos de Conservación'!$G$46*0.4)</f>
        <v>6660.3004561638536</v>
      </c>
      <c r="H13" s="104" t="str">
        <f t="shared" si="5"/>
        <v/>
      </c>
      <c r="I13" s="63">
        <f>+TPDA!C11</f>
        <v>3047.180253525994</v>
      </c>
      <c r="J13" s="64">
        <f>+TPDA!D11</f>
        <v>61.752010475327282</v>
      </c>
      <c r="K13" s="64">
        <f>+TPDA!E11</f>
        <v>347.86838633926931</v>
      </c>
      <c r="L13" s="64">
        <f>+TPDA!F11</f>
        <v>118.10679371155049</v>
      </c>
      <c r="M13" s="65">
        <f>+TPDA!G11</f>
        <v>357.11145202402008</v>
      </c>
      <c r="N13" s="109">
        <f>+VLOOKUP($E13,'VOC Urbano 50km'!$A$5:$P$32,3,0)+VLOOKUP($E13,'VOC Urbano 50km'!$A$5:$P$32,4,0)</f>
        <v>0.445405</v>
      </c>
      <c r="O13" s="110">
        <f>+VLOOKUP($E13,'VOC Urbano 50km'!$A$5:$P$32,6,0)+VLOOKUP($E13,'VOC Urbano 50km'!$A$5:$P$32,7,0)</f>
        <v>1.75712</v>
      </c>
      <c r="P13" s="110">
        <f>+VLOOKUP($E13,'VOC Urbano 50km'!$A$5:$P$32,9,0)+VLOOKUP($E13,'VOC Urbano 50km'!$A$5:$P$32,10,0)</f>
        <v>0.57590000000000008</v>
      </c>
      <c r="Q13" s="110">
        <f>+VLOOKUP($E13,'VOC Urbano 50km'!$A$5:$P$32,12,0)+VLOOKUP($E13,'VOC Urbano 50km'!$A$5:$P$32,13,0)</f>
        <v>0.9303300000000001</v>
      </c>
      <c r="R13" s="111">
        <f>+VLOOKUP($E13,'VOC Urbano 50km'!$A$5:$P$32,15,0)+VLOOKUP($E13,'VOC Urbano 50km'!$A$5:$P$32,16,0)</f>
        <v>1.12338</v>
      </c>
      <c r="S13" s="115">
        <f t="shared" si="3"/>
        <v>1376342.8641124265</v>
      </c>
      <c r="T13" s="104">
        <f t="shared" si="6"/>
        <v>1387878.5842566502</v>
      </c>
    </row>
    <row r="14" spans="2:20">
      <c r="B14" s="6">
        <v>2025</v>
      </c>
      <c r="C14" s="45">
        <f t="shared" si="2"/>
        <v>11535.720144223615</v>
      </c>
      <c r="D14" s="40">
        <f t="shared" si="1"/>
        <v>2.5</v>
      </c>
      <c r="E14" s="40">
        <f t="shared" si="4"/>
        <v>2.5</v>
      </c>
      <c r="F14" s="89"/>
      <c r="G14" s="89">
        <f>+IF(F14="",'Costos de Conservación'!$G$46,'Costos de Conservación'!$G$46*0.4)</f>
        <v>6660.3004561638536</v>
      </c>
      <c r="H14" s="104" t="str">
        <f t="shared" si="5"/>
        <v/>
      </c>
      <c r="I14" s="63">
        <f>+TPDA!C12</f>
        <v>3314.1406683571527</v>
      </c>
      <c r="J14" s="64">
        <f>+TPDA!D12</f>
        <v>62.447091105237561</v>
      </c>
      <c r="K14" s="64">
        <f>+TPDA!E12</f>
        <v>359.42318265991452</v>
      </c>
      <c r="L14" s="64">
        <f>+TPDA!F12</f>
        <v>132.09642531988993</v>
      </c>
      <c r="M14" s="65">
        <f>+TPDA!G12</f>
        <v>385.25969089545737</v>
      </c>
      <c r="N14" s="109">
        <f>+VLOOKUP($E14,'VOC Urbano 50km'!$A$5:$P$32,3,0)+VLOOKUP($E14,'VOC Urbano 50km'!$A$5:$P$32,4,0)</f>
        <v>0.44554000000000005</v>
      </c>
      <c r="O14" s="110">
        <f>+VLOOKUP($E14,'VOC Urbano 50km'!$A$5:$P$32,6,0)+VLOOKUP($E14,'VOC Urbano 50km'!$A$5:$P$32,7,0)</f>
        <v>1.7581549999999999</v>
      </c>
      <c r="P14" s="110">
        <f>+VLOOKUP($E14,'VOC Urbano 50km'!$A$5:$P$32,9,0)+VLOOKUP($E14,'VOC Urbano 50km'!$A$5:$P$32,10,0)</f>
        <v>0.57642499999999997</v>
      </c>
      <c r="Q14" s="110">
        <f>+VLOOKUP($E14,'VOC Urbano 50km'!$A$5:$P$32,12,0)+VLOOKUP($E14,'VOC Urbano 50km'!$A$5:$P$32,13,0)</f>
        <v>0.93162999999999996</v>
      </c>
      <c r="R14" s="111">
        <f>+VLOOKUP($E14,'VOC Urbano 50km'!$A$5:$P$32,15,0)+VLOOKUP($E14,'VOC Urbano 50km'!$A$5:$P$32,16,0)</f>
        <v>1.1250900000000001</v>
      </c>
      <c r="S14" s="115">
        <f t="shared" si="3"/>
        <v>1485678.2986706248</v>
      </c>
      <c r="T14" s="104">
        <f t="shared" si="6"/>
        <v>1497214.0188148485</v>
      </c>
    </row>
    <row r="15" spans="2:20">
      <c r="B15" s="6">
        <v>2026</v>
      </c>
      <c r="C15" s="45">
        <f t="shared" si="2"/>
        <v>11535.720144223615</v>
      </c>
      <c r="D15" s="40">
        <f t="shared" si="1"/>
        <v>2.75</v>
      </c>
      <c r="E15" s="40">
        <f t="shared" si="4"/>
        <v>2.8</v>
      </c>
      <c r="F15" s="89"/>
      <c r="G15" s="89">
        <f>+IF(F15="",'Costos de Conservación'!$G$46,'Costos de Conservación'!$G$46*0.4)</f>
        <v>6660.3004561638536</v>
      </c>
      <c r="H15" s="104" t="str">
        <f t="shared" si="5"/>
        <v/>
      </c>
      <c r="I15" s="63">
        <f>+TPDA!C13</f>
        <v>3604.4892181712544</v>
      </c>
      <c r="J15" s="64">
        <f>+TPDA!D13</f>
        <v>63.149995562718111</v>
      </c>
      <c r="K15" s="64">
        <f>+TPDA!E13</f>
        <v>371.36178309514622</v>
      </c>
      <c r="L15" s="64">
        <f>+TPDA!F13</f>
        <v>147.74311480260559</v>
      </c>
      <c r="M15" s="65">
        <f>+TPDA!G13</f>
        <v>415.62663025121907</v>
      </c>
      <c r="N15" s="109">
        <f>+VLOOKUP($E15,'VOC Urbano 50km'!$A$5:$P$32,3,0)+VLOOKUP($E15,'VOC Urbano 50km'!$A$5:$P$32,4,0)</f>
        <v>0.44586999999999999</v>
      </c>
      <c r="O15" s="110">
        <f>+VLOOKUP($E15,'VOC Urbano 50km'!$A$5:$P$32,6,0)+VLOOKUP($E15,'VOC Urbano 50km'!$A$5:$P$32,7,0)</f>
        <v>1.76125</v>
      </c>
      <c r="P15" s="110">
        <f>+VLOOKUP($E15,'VOC Urbano 50km'!$A$5:$P$32,9,0)+VLOOKUP($E15,'VOC Urbano 50km'!$A$5:$P$32,10,0)</f>
        <v>0.57777999999999996</v>
      </c>
      <c r="Q15" s="110">
        <f>+VLOOKUP($E15,'VOC Urbano 50km'!$A$5:$P$32,12,0)+VLOOKUP($E15,'VOC Urbano 50km'!$A$5:$P$32,13,0)</f>
        <v>0.93457999999999997</v>
      </c>
      <c r="R15" s="111">
        <f>+VLOOKUP($E15,'VOC Urbano 50km'!$A$5:$P$32,15,0)+VLOOKUP($E15,'VOC Urbano 50km'!$A$5:$P$32,16,0)</f>
        <v>1.1288299999999998</v>
      </c>
      <c r="S15" s="115">
        <f t="shared" si="3"/>
        <v>1605856.7324124074</v>
      </c>
      <c r="T15" s="104">
        <f t="shared" si="6"/>
        <v>1617392.4525566311</v>
      </c>
    </row>
    <row r="16" spans="2:20">
      <c r="B16" s="6">
        <v>2027</v>
      </c>
      <c r="C16" s="45">
        <f t="shared" si="2"/>
        <v>11535.720144223615</v>
      </c>
      <c r="D16" s="40">
        <f t="shared" si="1"/>
        <v>3</v>
      </c>
      <c r="E16" s="40">
        <f t="shared" si="4"/>
        <v>3</v>
      </c>
      <c r="F16" s="89"/>
      <c r="G16" s="89">
        <f>+IF(F16="",'Costos de Conservación'!$G$46,'Costos de Conservación'!$G$46*0.4)</f>
        <v>6660.3004561638536</v>
      </c>
      <c r="H16" s="104" t="str">
        <f t="shared" si="5"/>
        <v/>
      </c>
      <c r="I16" s="63">
        <f>+TPDA!C14</f>
        <v>3920.2749140860201</v>
      </c>
      <c r="J16" s="64">
        <f>+TPDA!D14</f>
        <v>63.860811912772064</v>
      </c>
      <c r="K16" s="64">
        <f>+TPDA!E14</f>
        <v>383.6969360824346</v>
      </c>
      <c r="L16" s="64">
        <f>+TPDA!F14</f>
        <v>165.24313900785941</v>
      </c>
      <c r="M16" s="65">
        <f>+TPDA!G14</f>
        <v>448.38715250088063</v>
      </c>
      <c r="N16" s="109">
        <f>+VLOOKUP($E16,'VOC Urbano 50km'!$A$5:$P$32,3,0)+VLOOKUP($E16,'VOC Urbano 50km'!$A$5:$P$32,4,0)</f>
        <v>0.44634000000000001</v>
      </c>
      <c r="O16" s="110">
        <f>+VLOOKUP($E16,'VOC Urbano 50km'!$A$5:$P$32,6,0)+VLOOKUP($E16,'VOC Urbano 50km'!$A$5:$P$32,7,0)</f>
        <v>1.7663199999999999</v>
      </c>
      <c r="P16" s="110">
        <f>+VLOOKUP($E16,'VOC Urbano 50km'!$A$5:$P$32,9,0)+VLOOKUP($E16,'VOC Urbano 50km'!$A$5:$P$32,10,0)</f>
        <v>0.57978999999999992</v>
      </c>
      <c r="Q16" s="110">
        <f>+VLOOKUP($E16,'VOC Urbano 50km'!$A$5:$P$32,12,0)+VLOOKUP($E16,'VOC Urbano 50km'!$A$5:$P$32,13,0)</f>
        <v>0.93850999999999996</v>
      </c>
      <c r="R16" s="111">
        <f>+VLOOKUP($E16,'VOC Urbano 50km'!$A$5:$P$32,15,0)+VLOOKUP($E16,'VOC Urbano 50km'!$A$5:$P$32,16,0)</f>
        <v>1.1336200000000001</v>
      </c>
      <c r="S16" s="115">
        <f t="shared" si="3"/>
        <v>1737508.6506582927</v>
      </c>
      <c r="T16" s="104">
        <f t="shared" si="6"/>
        <v>1749044.3708025164</v>
      </c>
    </row>
    <row r="17" spans="2:20">
      <c r="B17" s="6">
        <v>2028</v>
      </c>
      <c r="C17" s="45">
        <f t="shared" si="2"/>
        <v>11535.720144223615</v>
      </c>
      <c r="D17" s="40">
        <f t="shared" si="1"/>
        <v>3.35</v>
      </c>
      <c r="E17" s="40">
        <f t="shared" si="4"/>
        <v>3.4</v>
      </c>
      <c r="F17" s="89"/>
      <c r="G17" s="89">
        <f>+IF(F17="",'Costos de Conservación'!$G$46,'Costos de Conservación'!$G$46*0.4)</f>
        <v>6660.3004561638536</v>
      </c>
      <c r="H17" s="104" t="str">
        <f t="shared" si="5"/>
        <v/>
      </c>
      <c r="I17" s="63">
        <f>+TPDA!C15</f>
        <v>4263.726279034182</v>
      </c>
      <c r="J17" s="64">
        <f>+TPDA!D15</f>
        <v>64.579629211662223</v>
      </c>
      <c r="K17" s="64">
        <f>+TPDA!E15</f>
        <v>396.4418135113487</v>
      </c>
      <c r="L17" s="64">
        <f>+TPDA!F15</f>
        <v>184.81602358020135</v>
      </c>
      <c r="M17" s="65">
        <f>+TPDA!G15</f>
        <v>483.729924635305</v>
      </c>
      <c r="N17" s="109">
        <f>+VLOOKUP($E17,'VOC Urbano 50km'!$A$5:$P$32,3,0)+VLOOKUP($E17,'VOC Urbano 50km'!$A$5:$P$32,4,0)</f>
        <v>0.44833999999999996</v>
      </c>
      <c r="O17" s="110">
        <f>+VLOOKUP($E17,'VOC Urbano 50km'!$A$5:$P$32,6,0)+VLOOKUP($E17,'VOC Urbano 50km'!$A$5:$P$32,7,0)</f>
        <v>1.7891300000000001</v>
      </c>
      <c r="P17" s="110">
        <f>+VLOOKUP($E17,'VOC Urbano 50km'!$A$5:$P$32,9,0)+VLOOKUP($E17,'VOC Urbano 50km'!$A$5:$P$32,10,0)</f>
        <v>0.58853</v>
      </c>
      <c r="Q17" s="110">
        <f>+VLOOKUP($E17,'VOC Urbano 50km'!$A$5:$P$32,12,0)+VLOOKUP($E17,'VOC Urbano 50km'!$A$5:$P$32,13,0)</f>
        <v>0.9546</v>
      </c>
      <c r="R17" s="111">
        <f>+VLOOKUP($E17,'VOC Urbano 50km'!$A$5:$P$32,15,0)+VLOOKUP($E17,'VOC Urbano 50km'!$A$5:$P$32,16,0)</f>
        <v>1.1528700000000001</v>
      </c>
      <c r="S17" s="115">
        <f t="shared" si="3"/>
        <v>1893114.9058661147</v>
      </c>
      <c r="T17" s="104">
        <f t="shared" si="6"/>
        <v>1904650.6260103383</v>
      </c>
    </row>
    <row r="18" spans="2:20">
      <c r="B18" s="46">
        <v>2029</v>
      </c>
      <c r="C18" s="49">
        <f t="shared" si="2"/>
        <v>360976.54683488567</v>
      </c>
      <c r="D18" s="47">
        <v>2.2000000000000002</v>
      </c>
      <c r="E18" s="47">
        <f t="shared" si="4"/>
        <v>2.2000000000000002</v>
      </c>
      <c r="F18" s="105">
        <f>+'Costos de Conservación'!$J$9</f>
        <v>199757.72719488418</v>
      </c>
      <c r="G18" s="105">
        <f>+IF(F18="",'Costos de Conservación'!$G$46,'Costos de Conservación'!$G$46*0.4)</f>
        <v>2664.1201824655418</v>
      </c>
      <c r="H18" s="106">
        <f t="shared" si="5"/>
        <v>5992.731815846525</v>
      </c>
      <c r="I18" s="63">
        <f>+TPDA!C16</f>
        <v>4637.2670746140875</v>
      </c>
      <c r="J18" s="64">
        <f>+TPDA!D16</f>
        <v>65.30653751806868</v>
      </c>
      <c r="K18" s="64">
        <f>+TPDA!E16</f>
        <v>409.61002478894159</v>
      </c>
      <c r="L18" s="64">
        <f>+TPDA!F16</f>
        <v>206.70729675725264</v>
      </c>
      <c r="M18" s="65">
        <f>+TPDA!G16</f>
        <v>521.858484754909</v>
      </c>
      <c r="N18" s="109">
        <f>+VLOOKUP($E18,'VOC Urbano 50km'!$A$5:$P$32,3,0)+VLOOKUP($E18,'VOC Urbano 50km'!$A$5:$P$32,4,0)</f>
        <v>0.44535000000000002</v>
      </c>
      <c r="O18" s="110">
        <f>+VLOOKUP($E18,'VOC Urbano 50km'!$A$5:$P$32,6,0)+VLOOKUP($E18,'VOC Urbano 50km'!$A$5:$P$32,7,0)</f>
        <v>1.7567200000000001</v>
      </c>
      <c r="P18" s="110">
        <f>+VLOOKUP($E18,'VOC Urbano 50km'!$A$5:$P$32,9,0)+VLOOKUP($E18,'VOC Urbano 50km'!$A$5:$P$32,10,0)</f>
        <v>0.57567999999999997</v>
      </c>
      <c r="Q18" s="110">
        <f>+VLOOKUP($E18,'VOC Urbano 50km'!$A$5:$P$32,12,0)+VLOOKUP($E18,'VOC Urbano 50km'!$A$5:$P$32,13,0)</f>
        <v>0.92976000000000003</v>
      </c>
      <c r="R18" s="111">
        <f>+VLOOKUP($E18,'VOC Urbano 50km'!$A$5:$P$32,15,0)+VLOOKUP($E18,'VOC Urbano 50km'!$A$5:$P$32,16,0)</f>
        <v>1.12262</v>
      </c>
      <c r="S18" s="115">
        <f t="shared" si="3"/>
        <v>2019053.6521948739</v>
      </c>
      <c r="T18" s="104">
        <f t="shared" si="6"/>
        <v>2380030.1990297595</v>
      </c>
    </row>
    <row r="19" spans="2:20">
      <c r="B19" s="6">
        <v>2030</v>
      </c>
      <c r="C19" s="45">
        <f t="shared" si="2"/>
        <v>11535.720144223615</v>
      </c>
      <c r="D19" s="40">
        <f t="shared" si="1"/>
        <v>2.4500000000000002</v>
      </c>
      <c r="E19" s="40">
        <f t="shared" si="4"/>
        <v>2.5</v>
      </c>
      <c r="F19" s="89"/>
      <c r="G19" s="89">
        <f>+IF(F19="",'Costos de Conservación'!$G$46,'Costos de Conservación'!$G$46*0.4)</f>
        <v>6660.3004561638536</v>
      </c>
      <c r="H19" s="104" t="str">
        <f t="shared" si="5"/>
        <v/>
      </c>
      <c r="I19" s="63">
        <f>+TPDA!C17</f>
        <v>5043.533405753954</v>
      </c>
      <c r="J19" s="64">
        <f>+TPDA!D17</f>
        <v>66.041627904372049</v>
      </c>
      <c r="K19" s="64">
        <f>+TPDA!E17</f>
        <v>423.21563137233102</v>
      </c>
      <c r="L19" s="64">
        <f>+TPDA!F17</f>
        <v>231.19156935085249</v>
      </c>
      <c r="M19" s="65">
        <f>+TPDA!G17</f>
        <v>562.99241424026036</v>
      </c>
      <c r="N19" s="109">
        <f>+VLOOKUP($E19,'VOC Urbano 50km'!$A$5:$P$32,3,0)+VLOOKUP($E19,'VOC Urbano 50km'!$A$5:$P$32,4,0)</f>
        <v>0.44554000000000005</v>
      </c>
      <c r="O19" s="110">
        <f>+VLOOKUP($E19,'VOC Urbano 50km'!$A$5:$P$32,6,0)+VLOOKUP($E19,'VOC Urbano 50km'!$A$5:$P$32,7,0)</f>
        <v>1.7581549999999999</v>
      </c>
      <c r="P19" s="110">
        <f>+VLOOKUP($E19,'VOC Urbano 50km'!$A$5:$P$32,9,0)+VLOOKUP($E19,'VOC Urbano 50km'!$A$5:$P$32,10,0)</f>
        <v>0.57642499999999997</v>
      </c>
      <c r="Q19" s="110">
        <f>+VLOOKUP($E19,'VOC Urbano 50km'!$A$5:$P$32,12,0)+VLOOKUP($E19,'VOC Urbano 50km'!$A$5:$P$32,13,0)</f>
        <v>0.93162999999999996</v>
      </c>
      <c r="R19" s="111">
        <f>+VLOOKUP($E19,'VOC Urbano 50km'!$A$5:$P$32,15,0)+VLOOKUP($E19,'VOC Urbano 50km'!$A$5:$P$32,16,0)</f>
        <v>1.1250900000000001</v>
      </c>
      <c r="S19" s="115">
        <f t="shared" si="3"/>
        <v>2184804.8456530063</v>
      </c>
      <c r="T19" s="104">
        <f t="shared" si="6"/>
        <v>2196340.5657972298</v>
      </c>
    </row>
    <row r="20" spans="2:20">
      <c r="B20" s="6">
        <v>2031</v>
      </c>
      <c r="C20" s="45">
        <f t="shared" si="2"/>
        <v>11535.720144223615</v>
      </c>
      <c r="D20" s="40">
        <f t="shared" si="1"/>
        <v>2.7</v>
      </c>
      <c r="E20" s="40">
        <f t="shared" si="4"/>
        <v>2.7</v>
      </c>
      <c r="F20" s="89"/>
      <c r="G20" s="89">
        <f>+IF(F20="",'Costos de Conservación'!$G$46,'Costos de Conservación'!$G$46*0.4)</f>
        <v>6660.3004561638536</v>
      </c>
      <c r="H20" s="104" t="str">
        <f t="shared" si="5"/>
        <v/>
      </c>
      <c r="I20" s="63">
        <f>+TPDA!C18</f>
        <v>5485.3923238986526</v>
      </c>
      <c r="J20" s="64">
        <f>+TPDA!D18</f>
        <v>66.784992468063663</v>
      </c>
      <c r="K20" s="64">
        <f>+TPDA!E18</f>
        <v>437.27316178399434</v>
      </c>
      <c r="L20" s="64">
        <f>+TPDA!F18</f>
        <v>258.57597954889161</v>
      </c>
      <c r="M20" s="65">
        <f>+TPDA!G18</f>
        <v>607.36860231550611</v>
      </c>
      <c r="N20" s="109">
        <f>+VLOOKUP($E20,'VOC Urbano 50km'!$A$5:$P$32,3,0)+VLOOKUP($E20,'VOC Urbano 50km'!$A$5:$P$32,4,0)</f>
        <v>0.445745</v>
      </c>
      <c r="O20" s="110">
        <f>+VLOOKUP($E20,'VOC Urbano 50km'!$A$5:$P$32,6,0)+VLOOKUP($E20,'VOC Urbano 50km'!$A$5:$P$32,7,0)</f>
        <v>1.7600199999999999</v>
      </c>
      <c r="P20" s="110">
        <f>+VLOOKUP($E20,'VOC Urbano 50km'!$A$5:$P$32,9,0)+VLOOKUP($E20,'VOC Urbano 50km'!$A$5:$P$32,10,0)</f>
        <v>0.57725499999999996</v>
      </c>
      <c r="Q20" s="110">
        <f>+VLOOKUP($E20,'VOC Urbano 50km'!$A$5:$P$32,12,0)+VLOOKUP($E20,'VOC Urbano 50km'!$A$5:$P$32,13,0)</f>
        <v>0.93347000000000002</v>
      </c>
      <c r="R20" s="111">
        <f>+VLOOKUP($E20,'VOC Urbano 50km'!$A$5:$P$32,15,0)+VLOOKUP($E20,'VOC Urbano 50km'!$A$5:$P$32,16,0)</f>
        <v>1.1274350000000002</v>
      </c>
      <c r="S20" s="115">
        <f t="shared" si="3"/>
        <v>2365121.0762771629</v>
      </c>
      <c r="T20" s="104">
        <f t="shared" si="6"/>
        <v>2376656.7964213863</v>
      </c>
    </row>
    <row r="21" spans="2:20">
      <c r="B21" s="6">
        <v>2032</v>
      </c>
      <c r="C21" s="45">
        <f t="shared" si="2"/>
        <v>11535.720144223615</v>
      </c>
      <c r="D21" s="40">
        <f t="shared" si="1"/>
        <v>2.95</v>
      </c>
      <c r="E21" s="40">
        <f t="shared" si="4"/>
        <v>3</v>
      </c>
      <c r="F21" s="89"/>
      <c r="G21" s="89">
        <f>+IF(F21="",'Costos de Conservación'!$G$46,'Costos de Conservación'!$G$46*0.4)</f>
        <v>6660.3004561638536</v>
      </c>
      <c r="H21" s="104" t="str">
        <f t="shared" si="5"/>
        <v/>
      </c>
      <c r="I21" s="63">
        <f>+TPDA!C19</f>
        <v>5965.9620600030894</v>
      </c>
      <c r="J21" s="64">
        <f>+TPDA!D19</f>
        <v>67.536724343284178</v>
      </c>
      <c r="K21" s="64">
        <f>+TPDA!E19</f>
        <v>451.7976271258114</v>
      </c>
      <c r="L21" s="64">
        <f>+TPDA!F19</f>
        <v>289.20404575047826</v>
      </c>
      <c r="M21" s="65">
        <f>+TPDA!G19</f>
        <v>655.24261028721889</v>
      </c>
      <c r="N21" s="109">
        <f>+VLOOKUP($E21,'VOC Urbano 50km'!$A$5:$P$32,3,0)+VLOOKUP($E21,'VOC Urbano 50km'!$A$5:$P$32,4,0)</f>
        <v>0.44634000000000001</v>
      </c>
      <c r="O21" s="110">
        <f>+VLOOKUP($E21,'VOC Urbano 50km'!$A$5:$P$32,6,0)+VLOOKUP($E21,'VOC Urbano 50km'!$A$5:$P$32,7,0)</f>
        <v>1.7663199999999999</v>
      </c>
      <c r="P21" s="110">
        <f>+VLOOKUP($E21,'VOC Urbano 50km'!$A$5:$P$32,9,0)+VLOOKUP($E21,'VOC Urbano 50km'!$A$5:$P$32,10,0)</f>
        <v>0.57978999999999992</v>
      </c>
      <c r="Q21" s="110">
        <f>+VLOOKUP($E21,'VOC Urbano 50km'!$A$5:$P$32,12,0)+VLOOKUP($E21,'VOC Urbano 50km'!$A$5:$P$32,13,0)</f>
        <v>0.93850999999999996</v>
      </c>
      <c r="R21" s="111">
        <f>+VLOOKUP($E21,'VOC Urbano 50km'!$A$5:$P$32,15,0)+VLOOKUP($E21,'VOC Urbano 50km'!$A$5:$P$32,16,0)</f>
        <v>1.1336200000000001</v>
      </c>
      <c r="S21" s="115">
        <f t="shared" si="3"/>
        <v>2565596.1934347302</v>
      </c>
      <c r="T21" s="104">
        <f t="shared" si="6"/>
        <v>2577131.9135789536</v>
      </c>
    </row>
    <row r="22" spans="2:20">
      <c r="B22" s="6">
        <v>2033</v>
      </c>
      <c r="C22" s="45">
        <f t="shared" si="2"/>
        <v>11535.720144223615</v>
      </c>
      <c r="D22" s="40">
        <f t="shared" si="1"/>
        <v>3.2</v>
      </c>
      <c r="E22" s="40">
        <f t="shared" si="4"/>
        <v>3.2</v>
      </c>
      <c r="F22" s="89"/>
      <c r="G22" s="89">
        <f>+IF(F22="",'Costos de Conservación'!$G$46,'Costos de Conservación'!$G$46*0.4)</f>
        <v>6660.3004561638536</v>
      </c>
      <c r="H22" s="104" t="str">
        <f t="shared" si="5"/>
        <v/>
      </c>
      <c r="I22" s="63">
        <f>+TPDA!C20</f>
        <v>6488.6340301179007</v>
      </c>
      <c r="J22" s="64">
        <f>+TPDA!D20</f>
        <v>68.296917712492188</v>
      </c>
      <c r="K22" s="64">
        <f>+TPDA!E20</f>
        <v>466.80453710842238</v>
      </c>
      <c r="L22" s="64">
        <f>+TPDA!F20</f>
        <v>323.4599757655767</v>
      </c>
      <c r="M22" s="65">
        <f>+TPDA!G20</f>
        <v>706.89014331527801</v>
      </c>
      <c r="N22" s="109">
        <f>+VLOOKUP($E22,'VOC Urbano 50km'!$A$5:$P$32,3,0)+VLOOKUP($E22,'VOC Urbano 50km'!$A$5:$P$32,4,0)</f>
        <v>0.44723999999999997</v>
      </c>
      <c r="O22" s="110">
        <f>+VLOOKUP($E22,'VOC Urbano 50km'!$A$5:$P$32,6,0)+VLOOKUP($E22,'VOC Urbano 50km'!$A$5:$P$32,7,0)</f>
        <v>1.7766600000000001</v>
      </c>
      <c r="P22" s="110">
        <f>+VLOOKUP($E22,'VOC Urbano 50km'!$A$5:$P$32,9,0)+VLOOKUP($E22,'VOC Urbano 50km'!$A$5:$P$32,10,0)</f>
        <v>0.58375999999999995</v>
      </c>
      <c r="Q22" s="110">
        <f>+VLOOKUP($E22,'VOC Urbano 50km'!$A$5:$P$32,12,0)+VLOOKUP($E22,'VOC Urbano 50km'!$A$5:$P$32,13,0)</f>
        <v>0.94584999999999997</v>
      </c>
      <c r="R22" s="111">
        <f>+VLOOKUP($E22,'VOC Urbano 50km'!$A$5:$P$32,15,0)+VLOOKUP($E22,'VOC Urbano 50km'!$A$5:$P$32,16,0)</f>
        <v>1.14242</v>
      </c>
      <c r="S22" s="115">
        <f t="shared" si="3"/>
        <v>2787508.8523533884</v>
      </c>
      <c r="T22" s="104">
        <f t="shared" si="6"/>
        <v>2799044.5724976119</v>
      </c>
    </row>
    <row r="23" spans="2:20">
      <c r="B23" s="46">
        <v>2034</v>
      </c>
      <c r="C23" s="49">
        <f t="shared" si="2"/>
        <v>360976.54683488567</v>
      </c>
      <c r="D23" s="47">
        <v>2.2000000000000002</v>
      </c>
      <c r="E23" s="47">
        <f t="shared" si="4"/>
        <v>2.2000000000000002</v>
      </c>
      <c r="F23" s="105">
        <f>+'Costos de Conservación'!$J$9</f>
        <v>199757.72719488418</v>
      </c>
      <c r="G23" s="105">
        <f>+IF(F23="",'Costos de Conservación'!$G$46,'Costos de Conservación'!$G$46*0.4)</f>
        <v>2664.1201824655418</v>
      </c>
      <c r="H23" s="106">
        <f t="shared" si="5"/>
        <v>5992.731815846525</v>
      </c>
      <c r="I23" s="63">
        <f>+TPDA!C21</f>
        <v>7057.0967688624996</v>
      </c>
      <c r="J23" s="64">
        <f>+TPDA!D21</f>
        <v>69.065667818264004</v>
      </c>
      <c r="K23" s="64">
        <f>+TPDA!E21</f>
        <v>482.30991661301567</v>
      </c>
      <c r="L23" s="64">
        <f>+TPDA!F21</f>
        <v>361.77348643503348</v>
      </c>
      <c r="M23" s="65">
        <f>+TPDA!G21</f>
        <v>762.6086381916748</v>
      </c>
      <c r="N23" s="109">
        <f>+VLOOKUP($E23,'VOC Urbano 50km'!$A$5:$P$32,3,0)+VLOOKUP($E23,'VOC Urbano 50km'!$A$5:$P$32,4,0)</f>
        <v>0.44535000000000002</v>
      </c>
      <c r="O23" s="110">
        <f>+VLOOKUP($E23,'VOC Urbano 50km'!$A$5:$P$32,6,0)+VLOOKUP($E23,'VOC Urbano 50km'!$A$5:$P$32,7,0)</f>
        <v>1.7567200000000001</v>
      </c>
      <c r="P23" s="110">
        <f>+VLOOKUP($E23,'VOC Urbano 50km'!$A$5:$P$32,9,0)+VLOOKUP($E23,'VOC Urbano 50km'!$A$5:$P$32,10,0)</f>
        <v>0.57567999999999997</v>
      </c>
      <c r="Q23" s="110">
        <f>+VLOOKUP($E23,'VOC Urbano 50km'!$A$5:$P$32,12,0)+VLOOKUP($E23,'VOC Urbano 50km'!$A$5:$P$32,13,0)</f>
        <v>0.92976000000000003</v>
      </c>
      <c r="R23" s="111">
        <f>+VLOOKUP($E23,'VOC Urbano 50km'!$A$5:$P$32,15,0)+VLOOKUP($E23,'VOC Urbano 50km'!$A$5:$P$32,16,0)</f>
        <v>1.12262</v>
      </c>
      <c r="S23" s="115">
        <f t="shared" si="3"/>
        <v>2992979.2211318226</v>
      </c>
      <c r="T23" s="104">
        <f t="shared" si="6"/>
        <v>3353955.7679667082</v>
      </c>
    </row>
    <row r="24" spans="2:20">
      <c r="B24" s="6">
        <v>2035</v>
      </c>
      <c r="C24" s="45">
        <f t="shared" si="2"/>
        <v>11535.720144223615</v>
      </c>
      <c r="D24" s="40">
        <f t="shared" si="1"/>
        <v>2.4500000000000002</v>
      </c>
      <c r="E24" s="40">
        <f t="shared" si="4"/>
        <v>2.5</v>
      </c>
      <c r="F24" s="89"/>
      <c r="G24" s="89">
        <f>+IF(F24="",'Costos de Conservación'!$G$46,'Costos de Conservación'!$G$46*0.4)</f>
        <v>6660.3004561638536</v>
      </c>
      <c r="H24" s="104" t="str">
        <f t="shared" si="5"/>
        <v/>
      </c>
      <c r="I24" s="63">
        <f>+TPDA!C22</f>
        <v>7675.3619596857743</v>
      </c>
      <c r="J24" s="64">
        <f>+TPDA!D22</f>
        <v>69.843070975226382</v>
      </c>
      <c r="K24" s="64">
        <f>+TPDA!E22</f>
        <v>498.33032280323357</v>
      </c>
      <c r="L24" s="64">
        <f>+TPDA!F22</f>
        <v>404.62519412977673</v>
      </c>
      <c r="M24" s="65">
        <f>+TPDA!G22</f>
        <v>822.71897627121893</v>
      </c>
      <c r="N24" s="109">
        <f>+VLOOKUP($E24,'VOC Urbano 50km'!$A$5:$P$32,3,0)+VLOOKUP($E24,'VOC Urbano 50km'!$A$5:$P$32,4,0)</f>
        <v>0.44554000000000005</v>
      </c>
      <c r="O24" s="110">
        <f>+VLOOKUP($E24,'VOC Urbano 50km'!$A$5:$P$32,6,0)+VLOOKUP($E24,'VOC Urbano 50km'!$A$5:$P$32,7,0)</f>
        <v>1.7581549999999999</v>
      </c>
      <c r="P24" s="110">
        <f>+VLOOKUP($E24,'VOC Urbano 50km'!$A$5:$P$32,9,0)+VLOOKUP($E24,'VOC Urbano 50km'!$A$5:$P$32,10,0)</f>
        <v>0.57642499999999997</v>
      </c>
      <c r="Q24" s="110">
        <f>+VLOOKUP($E24,'VOC Urbano 50km'!$A$5:$P$32,12,0)+VLOOKUP($E24,'VOC Urbano 50km'!$A$5:$P$32,13,0)</f>
        <v>0.93162999999999996</v>
      </c>
      <c r="R24" s="111">
        <f>+VLOOKUP($E24,'VOC Urbano 50km'!$A$5:$P$32,15,0)+VLOOKUP($E24,'VOC Urbano 50km'!$A$5:$P$32,16,0)</f>
        <v>1.1250900000000001</v>
      </c>
      <c r="S24" s="115">
        <f t="shared" si="3"/>
        <v>3244572.2561669988</v>
      </c>
      <c r="T24" s="104">
        <f t="shared" si="6"/>
        <v>3256107.9763112222</v>
      </c>
    </row>
    <row r="25" spans="2:20">
      <c r="B25" s="6">
        <v>2036</v>
      </c>
      <c r="C25" s="45">
        <f t="shared" si="2"/>
        <v>11535.720144223615</v>
      </c>
      <c r="D25" s="40">
        <f t="shared" si="1"/>
        <v>2.7</v>
      </c>
      <c r="E25" s="40">
        <f t="shared" si="4"/>
        <v>2.7</v>
      </c>
      <c r="F25" s="89"/>
      <c r="G25" s="89">
        <f>+IF(F25="",'Costos de Conservación'!$G$46,'Costos de Conservación'!$G$46*0.4)</f>
        <v>6660.3004561638536</v>
      </c>
      <c r="H25" s="104" t="str">
        <f t="shared" si="5"/>
        <v/>
      </c>
      <c r="I25" s="63">
        <f>+TPDA!C23</f>
        <v>8347.7927456118869</v>
      </c>
      <c r="J25" s="64">
        <f>+TPDA!D23</f>
        <v>70.629224582123527</v>
      </c>
      <c r="K25" s="64">
        <f>+TPDA!E23</f>
        <v>514.88286280546572</v>
      </c>
      <c r="L25" s="64">
        <f>+TPDA!F23</f>
        <v>452.55264374925463</v>
      </c>
      <c r="M25" s="65">
        <f>+TPDA!G23</f>
        <v>887.567331418869</v>
      </c>
      <c r="N25" s="109">
        <f>+VLOOKUP($E25,'VOC Urbano 50km'!$A$5:$P$32,3,0)+VLOOKUP($E25,'VOC Urbano 50km'!$A$5:$P$32,4,0)</f>
        <v>0.445745</v>
      </c>
      <c r="O25" s="110">
        <f>+VLOOKUP($E25,'VOC Urbano 50km'!$A$5:$P$32,6,0)+VLOOKUP($E25,'VOC Urbano 50km'!$A$5:$P$32,7,0)</f>
        <v>1.7600199999999999</v>
      </c>
      <c r="P25" s="110">
        <f>+VLOOKUP($E25,'VOC Urbano 50km'!$A$5:$P$32,9,0)+VLOOKUP($E25,'VOC Urbano 50km'!$A$5:$P$32,10,0)</f>
        <v>0.57725499999999996</v>
      </c>
      <c r="Q25" s="110">
        <f>+VLOOKUP($E25,'VOC Urbano 50km'!$A$5:$P$32,12,0)+VLOOKUP($E25,'VOC Urbano 50km'!$A$5:$P$32,13,0)</f>
        <v>0.93347000000000002</v>
      </c>
      <c r="R25" s="111">
        <f>+VLOOKUP($E25,'VOC Urbano 50km'!$A$5:$P$32,15,0)+VLOOKUP($E25,'VOC Urbano 50km'!$A$5:$P$32,16,0)</f>
        <v>1.1274350000000002</v>
      </c>
      <c r="S25" s="115">
        <f t="shared" si="3"/>
        <v>3518506.3366208798</v>
      </c>
      <c r="T25" s="104">
        <f t="shared" si="6"/>
        <v>3530042.0567651032</v>
      </c>
    </row>
    <row r="26" spans="2:20">
      <c r="B26" s="6">
        <v>2037</v>
      </c>
      <c r="C26" s="45">
        <f t="shared" si="2"/>
        <v>11535.720144223615</v>
      </c>
      <c r="D26" s="40">
        <f t="shared" si="1"/>
        <v>2.95</v>
      </c>
      <c r="E26" s="40">
        <f t="shared" si="4"/>
        <v>3</v>
      </c>
      <c r="F26" s="89"/>
      <c r="G26" s="89">
        <f>+IF(F26="",'Costos de Conservación'!$G$46,'Costos de Conservación'!$G$46*0.4)</f>
        <v>6660.3004561638536</v>
      </c>
      <c r="H26" s="104" t="str">
        <f t="shared" si="5"/>
        <v/>
      </c>
      <c r="I26" s="63">
        <f>+TPDA!C24</f>
        <v>9079.1345202621978</v>
      </c>
      <c r="J26" s="64">
        <f>+TPDA!D24</f>
        <v>71.424227134019901</v>
      </c>
      <c r="K26" s="64">
        <f>+TPDA!E24</f>
        <v>531.98521197641207</v>
      </c>
      <c r="L26" s="64">
        <f>+TPDA!F24</f>
        <v>506.15705184871013</v>
      </c>
      <c r="M26" s="65">
        <f>+TPDA!G24</f>
        <v>957.52716361596708</v>
      </c>
      <c r="N26" s="109">
        <f>+VLOOKUP($E26,'VOC Urbano 50km'!$A$5:$P$32,3,0)+VLOOKUP($E26,'VOC Urbano 50km'!$A$5:$P$32,4,0)</f>
        <v>0.44634000000000001</v>
      </c>
      <c r="O26" s="110">
        <f>+VLOOKUP($E26,'VOC Urbano 50km'!$A$5:$P$32,6,0)+VLOOKUP($E26,'VOC Urbano 50km'!$A$5:$P$32,7,0)</f>
        <v>1.7663199999999999</v>
      </c>
      <c r="P26" s="110">
        <f>+VLOOKUP($E26,'VOC Urbano 50km'!$A$5:$P$32,9,0)+VLOOKUP($E26,'VOC Urbano 50km'!$A$5:$P$32,10,0)</f>
        <v>0.57978999999999992</v>
      </c>
      <c r="Q26" s="110">
        <f>+VLOOKUP($E26,'VOC Urbano 50km'!$A$5:$P$32,12,0)+VLOOKUP($E26,'VOC Urbano 50km'!$A$5:$P$32,13,0)</f>
        <v>0.93850999999999996</v>
      </c>
      <c r="R26" s="111">
        <f>+VLOOKUP($E26,'VOC Urbano 50km'!$A$5:$P$32,15,0)+VLOOKUP($E26,'VOC Urbano 50km'!$A$5:$P$32,16,0)</f>
        <v>1.1336200000000001</v>
      </c>
      <c r="S26" s="115">
        <f t="shared" si="3"/>
        <v>3823124.8964276877</v>
      </c>
      <c r="T26" s="104">
        <f t="shared" si="6"/>
        <v>3834660.6165719111</v>
      </c>
    </row>
    <row r="27" spans="2:20">
      <c r="B27" s="6">
        <v>2038</v>
      </c>
      <c r="C27" s="45">
        <f t="shared" si="2"/>
        <v>11535.720144223615</v>
      </c>
      <c r="D27" s="40">
        <f t="shared" si="1"/>
        <v>3.2</v>
      </c>
      <c r="E27" s="40">
        <f t="shared" si="4"/>
        <v>3.2</v>
      </c>
      <c r="F27" s="2"/>
      <c r="G27" s="89">
        <f>+IF(F27="",'Costos de Conservación'!$G$46,'Costos de Conservación'!$G$46*0.4)</f>
        <v>6660.3004561638536</v>
      </c>
      <c r="H27" s="7" t="str">
        <f t="shared" si="5"/>
        <v/>
      </c>
      <c r="I27" s="63">
        <f>+TPDA!C25</f>
        <v>9874.5484164478494</v>
      </c>
      <c r="J27" s="64">
        <f>+TPDA!D25</f>
        <v>72.228178234640424</v>
      </c>
      <c r="K27" s="64">
        <f>+TPDA!E25</f>
        <v>549.65563277742046</v>
      </c>
      <c r="L27" s="64">
        <f>+TPDA!F25</f>
        <v>566.11084848313794</v>
      </c>
      <c r="M27" s="65">
        <f>+TPDA!G25</f>
        <v>1033.0013697065049</v>
      </c>
      <c r="N27" s="109">
        <f>+VLOOKUP($E27,'VOC Urbano 50km'!$A$5:$P$32,3,0)+VLOOKUP($E27,'VOC Urbano 50km'!$A$5:$P$32,4,0)</f>
        <v>0.44723999999999997</v>
      </c>
      <c r="O27" s="110">
        <f>+VLOOKUP($E27,'VOC Urbano 50km'!$A$5:$P$32,6,0)+VLOOKUP($E27,'VOC Urbano 50km'!$A$5:$P$32,7,0)</f>
        <v>1.7766600000000001</v>
      </c>
      <c r="P27" s="110">
        <f>+VLOOKUP($E27,'VOC Urbano 50km'!$A$5:$P$32,9,0)+VLOOKUP($E27,'VOC Urbano 50km'!$A$5:$P$32,10,0)</f>
        <v>0.58375999999999995</v>
      </c>
      <c r="Q27" s="110">
        <f>+VLOOKUP($E27,'VOC Urbano 50km'!$A$5:$P$32,12,0)+VLOOKUP($E27,'VOC Urbano 50km'!$A$5:$P$32,13,0)</f>
        <v>0.94584999999999997</v>
      </c>
      <c r="R27" s="111">
        <f>+VLOOKUP($E27,'VOC Urbano 50km'!$A$5:$P$32,15,0)+VLOOKUP($E27,'VOC Urbano 50km'!$A$5:$P$32,16,0)</f>
        <v>1.14242</v>
      </c>
      <c r="S27" s="115">
        <f t="shared" si="3"/>
        <v>4160444.7236442328</v>
      </c>
      <c r="T27" s="104">
        <f t="shared" si="6"/>
        <v>4171980.4437884563</v>
      </c>
    </row>
    <row r="28" spans="2:20" ht="15" thickBot="1">
      <c r="B28" s="230">
        <v>2039</v>
      </c>
      <c r="C28" s="231">
        <f t="shared" si="2"/>
        <v>360976.54683488567</v>
      </c>
      <c r="D28" s="232">
        <v>2.2000000000000002</v>
      </c>
      <c r="E28" s="232">
        <f t="shared" si="4"/>
        <v>2.2000000000000002</v>
      </c>
      <c r="F28" s="233">
        <f>+'Costos de Conservación'!$J$9</f>
        <v>199757.72719488418</v>
      </c>
      <c r="G28" s="233">
        <f>+IF(F28="",'Costos de Conservación'!$G$46,'Costos de Conservación'!$G$46*0.4)</f>
        <v>2664.1201824655418</v>
      </c>
      <c r="H28" s="234">
        <f t="shared" si="5"/>
        <v>5992.731815846525</v>
      </c>
      <c r="I28" s="66">
        <f>+TPDA!C26</f>
        <v>10739.647728664429</v>
      </c>
      <c r="J28" s="67">
        <f>+TPDA!D26</f>
        <v>73.041178608849535</v>
      </c>
      <c r="K28" s="67">
        <f>+TPDA!E26</f>
        <v>567.9129942757553</v>
      </c>
      <c r="L28" s="67">
        <f>+TPDA!F26</f>
        <v>633.16611237511722</v>
      </c>
      <c r="M28" s="68">
        <f>+TPDA!G26</f>
        <v>1114.4246036695108</v>
      </c>
      <c r="N28" s="112">
        <f>+VLOOKUP($E28,'VOC Urbano 50km'!$A$5:$P$32,3,0)+VLOOKUP($E28,'VOC Urbano 50km'!$A$5:$P$32,4,0)</f>
        <v>0.44535000000000002</v>
      </c>
      <c r="O28" s="113">
        <f>+VLOOKUP($E28,'VOC Urbano 50km'!$A$5:$P$32,6,0)+VLOOKUP($E28,'VOC Urbano 50km'!$A$5:$P$32,7,0)</f>
        <v>1.7567200000000001</v>
      </c>
      <c r="P28" s="113">
        <f>+VLOOKUP($E28,'VOC Urbano 50km'!$A$5:$P$32,9,0)+VLOOKUP($E28,'VOC Urbano 50km'!$A$5:$P$32,10,0)</f>
        <v>0.57567999999999997</v>
      </c>
      <c r="Q28" s="113">
        <f>+VLOOKUP($E28,'VOC Urbano 50km'!$A$5:$P$32,12,0)+VLOOKUP($E28,'VOC Urbano 50km'!$A$5:$P$32,13,0)</f>
        <v>0.92976000000000003</v>
      </c>
      <c r="R28" s="114">
        <f>+VLOOKUP($E28,'VOC Urbano 50km'!$A$5:$P$32,15,0)+VLOOKUP($E28,'VOC Urbano 50km'!$A$5:$P$32,16,0)</f>
        <v>1.12262</v>
      </c>
      <c r="S28" s="116">
        <f t="shared" si="3"/>
        <v>4474549.7948972695</v>
      </c>
      <c r="T28" s="93">
        <f t="shared" si="6"/>
        <v>4835526.3417321555</v>
      </c>
    </row>
    <row r="29" spans="2:20" ht="15" thickBot="1"/>
    <row r="30" spans="2:20" ht="15" thickBot="1">
      <c r="B30" s="269" t="s">
        <v>73</v>
      </c>
      <c r="C30" s="270"/>
    </row>
    <row r="31" spans="2:20">
      <c r="B31" s="35" t="s">
        <v>74</v>
      </c>
      <c r="C31" s="36" t="s">
        <v>75</v>
      </c>
    </row>
    <row r="32" spans="2:20">
      <c r="B32" s="37">
        <v>3</v>
      </c>
      <c r="C32" s="38">
        <v>0.25</v>
      </c>
    </row>
    <row r="33" spans="2:3">
      <c r="B33" s="39" t="s">
        <v>76</v>
      </c>
      <c r="C33" s="43">
        <v>0.35</v>
      </c>
    </row>
    <row r="34" spans="2:3">
      <c r="B34" s="39" t="s">
        <v>77</v>
      </c>
      <c r="C34" s="43">
        <v>0.5</v>
      </c>
    </row>
    <row r="35" spans="2:3" ht="15" thickBot="1">
      <c r="B35" s="42" t="s">
        <v>78</v>
      </c>
      <c r="C35" s="44">
        <v>0.9</v>
      </c>
    </row>
    <row r="36" spans="2:3" ht="15" thickBot="1"/>
    <row r="37" spans="2:3" ht="15" thickBot="1">
      <c r="B37" s="73" t="s">
        <v>79</v>
      </c>
      <c r="C37" s="74">
        <f>+AVERAGE(D6:D28)</f>
        <v>2.6382608695652188</v>
      </c>
    </row>
    <row r="38" spans="2:3" ht="15" thickBot="1"/>
    <row r="39" spans="2:3" ht="15" thickBot="1">
      <c r="B39" s="73" t="s">
        <v>94</v>
      </c>
      <c r="C39" s="74">
        <v>1.7320119745570557</v>
      </c>
    </row>
  </sheetData>
  <mergeCells count="6">
    <mergeCell ref="B30:C30"/>
    <mergeCell ref="B2:T2"/>
    <mergeCell ref="B4:H4"/>
    <mergeCell ref="I4:M4"/>
    <mergeCell ref="N4:R4"/>
    <mergeCell ref="S4:T4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workbookViewId="0">
      <selection activeCell="P51" sqref="P51"/>
    </sheetView>
  </sheetViews>
  <sheetFormatPr baseColWidth="10" defaultColWidth="9.109375" defaultRowHeight="14.4"/>
  <cols>
    <col min="2" max="2" width="8.6640625" bestFit="1" customWidth="1"/>
    <col min="3" max="3" width="13.6640625" style="79" bestFit="1" customWidth="1"/>
    <col min="4" max="4" width="7.44140625" customWidth="1"/>
    <col min="6" max="6" width="14.33203125" bestFit="1" customWidth="1"/>
    <col min="7" max="7" width="14.6640625" customWidth="1"/>
    <col min="8" max="8" width="15.6640625" bestFit="1" customWidth="1"/>
    <col min="10" max="10" width="16" bestFit="1" customWidth="1"/>
    <col min="11" max="11" width="13.6640625" bestFit="1" customWidth="1"/>
    <col min="12" max="13" width="9.33203125" customWidth="1"/>
    <col min="16" max="16" width="9.44140625" customWidth="1"/>
    <col min="17" max="17" width="10.33203125" customWidth="1"/>
    <col min="18" max="18" width="10.44140625" customWidth="1"/>
    <col min="19" max="20" width="13.33203125" bestFit="1" customWidth="1"/>
  </cols>
  <sheetData>
    <row r="2" spans="2:20" ht="18">
      <c r="B2" s="271" t="s">
        <v>61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0" ht="14.4" customHeight="1" thickBot="1"/>
    <row r="4" spans="2:20">
      <c r="B4" s="272" t="s">
        <v>69</v>
      </c>
      <c r="C4" s="273"/>
      <c r="D4" s="273"/>
      <c r="E4" s="273"/>
      <c r="F4" s="273"/>
      <c r="G4" s="273"/>
      <c r="H4" s="274"/>
      <c r="I4" s="275" t="s">
        <v>52</v>
      </c>
      <c r="J4" s="276"/>
      <c r="K4" s="276"/>
      <c r="L4" s="276"/>
      <c r="M4" s="277"/>
      <c r="N4" s="275" t="s">
        <v>53</v>
      </c>
      <c r="O4" s="276"/>
      <c r="P4" s="276"/>
      <c r="Q4" s="276"/>
      <c r="R4" s="277"/>
      <c r="S4" s="275" t="s">
        <v>54</v>
      </c>
      <c r="T4" s="277"/>
    </row>
    <row r="5" spans="2:20" ht="24.6" customHeight="1">
      <c r="B5" s="96" t="s">
        <v>55</v>
      </c>
      <c r="C5" s="101" t="s">
        <v>56</v>
      </c>
      <c r="D5" s="97" t="s">
        <v>57</v>
      </c>
      <c r="E5" s="98" t="s">
        <v>57</v>
      </c>
      <c r="F5" s="97" t="s">
        <v>58</v>
      </c>
      <c r="G5" s="98" t="s">
        <v>62</v>
      </c>
      <c r="H5" s="100" t="s">
        <v>59</v>
      </c>
      <c r="I5" s="99" t="s">
        <v>63</v>
      </c>
      <c r="J5" s="98" t="s">
        <v>64</v>
      </c>
      <c r="K5" s="98" t="s">
        <v>65</v>
      </c>
      <c r="L5" s="98" t="s">
        <v>66</v>
      </c>
      <c r="M5" s="100" t="s">
        <v>67</v>
      </c>
      <c r="N5" s="99" t="s">
        <v>63</v>
      </c>
      <c r="O5" s="98" t="s">
        <v>64</v>
      </c>
      <c r="P5" s="98" t="s">
        <v>65</v>
      </c>
      <c r="Q5" s="98" t="s">
        <v>66</v>
      </c>
      <c r="R5" s="100" t="s">
        <v>67</v>
      </c>
      <c r="S5" s="96" t="s">
        <v>60</v>
      </c>
      <c r="T5" s="100" t="s">
        <v>68</v>
      </c>
    </row>
    <row r="6" spans="2:20">
      <c r="B6" s="76">
        <v>2019</v>
      </c>
      <c r="C6" s="105">
        <f>+F6+H6</f>
        <v>2457562.2924709879</v>
      </c>
      <c r="D6" s="77"/>
      <c r="E6" s="78"/>
      <c r="F6" s="105">
        <v>2385982.8082242599</v>
      </c>
      <c r="G6" s="105"/>
      <c r="H6" s="106">
        <f>+IF(F6="","",F6*0.03)</f>
        <v>71579.484246727792</v>
      </c>
      <c r="I6" s="4"/>
      <c r="J6" s="3"/>
      <c r="K6" s="3"/>
      <c r="L6" s="3"/>
      <c r="M6" s="5"/>
      <c r="N6" s="4"/>
      <c r="O6" s="58"/>
      <c r="P6" s="58"/>
      <c r="Q6" s="58"/>
      <c r="R6" s="75"/>
      <c r="S6" s="115"/>
      <c r="T6" s="104">
        <f>S6+C6</f>
        <v>2457562.2924709879</v>
      </c>
    </row>
    <row r="7" spans="2:20">
      <c r="B7" s="6">
        <v>2020</v>
      </c>
      <c r="C7" s="89">
        <f>+SUM(F7:H7)*$C$38</f>
        <v>15978.181907200516</v>
      </c>
      <c r="D7" s="40">
        <v>1.6</v>
      </c>
      <c r="E7" s="40">
        <f t="shared" ref="E7:E26" si="0">+ROUND(D7,1)</f>
        <v>1.6</v>
      </c>
      <c r="F7" s="89"/>
      <c r="G7" s="89">
        <f>+IF(F7="",'Costos de Conservación'!$G$40,'Costos de Conservación'!$G$40*0.4)</f>
        <v>8090.2186871901349</v>
      </c>
      <c r="H7" s="104" t="str">
        <f>+IF(F7="","",F7*0.03)</f>
        <v/>
      </c>
      <c r="I7" s="63">
        <f>+TPDA!C7</f>
        <v>2160.3118667471554</v>
      </c>
      <c r="J7" s="64">
        <f>+TPDA!D7</f>
        <v>58.98253101137405</v>
      </c>
      <c r="K7" s="64">
        <f>+TPDA!E7</f>
        <v>304.26748111027547</v>
      </c>
      <c r="L7" s="64">
        <f>+TPDA!F7</f>
        <v>74.683425325534984</v>
      </c>
      <c r="M7" s="65">
        <f>+TPDA!G7</f>
        <v>261.72061654186319</v>
      </c>
      <c r="N7" s="59">
        <f>+VLOOKUP($E7,'VOC Rural 110km'!$A$5:$P$29,3,0)+VLOOKUP($E7,'VOC Rural 110km'!$A$5:$P$29,4,0)</f>
        <v>0.32667000000000002</v>
      </c>
      <c r="O7" s="69">
        <f>+VLOOKUP($E7,'VOC Rural 110km'!$A$5:$P$29,6,0)+VLOOKUP($E7,'VOC Rural 110km'!$A$5:$P$29,7,0)</f>
        <v>1.3129300000000002</v>
      </c>
      <c r="P7" s="69">
        <f>+VLOOKUP($E7,'VOC Rural 110km'!$A$5:$P$29,9,0)+VLOOKUP($E7,'VOC Rural 110km'!$A$5:$P$29,10,0)</f>
        <v>0.54473000000000005</v>
      </c>
      <c r="Q7" s="69">
        <f>+VLOOKUP($E7,'VOC Rural 110km'!$A$5:$P$29,12,0)+VLOOKUP($E7,'VOC Rural 110km'!$A$5:$P$29,13,0)</f>
        <v>0.91815000000000002</v>
      </c>
      <c r="R7" s="70">
        <f>+VLOOKUP($E7,'VOC Rural 110km'!$A$5:$P$29,15,0)+VLOOKUP($E7,'VOC Rural 110km'!$A$5:$P$29,16,0)</f>
        <v>1.0935900000000001</v>
      </c>
      <c r="S7" s="115">
        <f t="shared" ref="S7:S26" si="1">SUMPRODUCT(I7:M7,N7:R7)*365*$C$38</f>
        <v>939789.07500772248</v>
      </c>
      <c r="T7" s="104">
        <f>S7+C7</f>
        <v>955767.25691492297</v>
      </c>
    </row>
    <row r="8" spans="2:20">
      <c r="B8" s="6">
        <v>2021</v>
      </c>
      <c r="C8" s="89">
        <f t="shared" ref="C8:C26" si="2">+SUM(F8:H8)*$C$38</f>
        <v>15978.181907200516</v>
      </c>
      <c r="D8" s="40">
        <f t="shared" ref="D8:D16" si="3">+IF(D7&lt;$B$31,D7+$C$31,(IF(D7&lt;$B$32,D7+$C$32,(IF(D7&lt;$B$33,D7+$C$33,D7+$C$34)))))</f>
        <v>1.75</v>
      </c>
      <c r="E8" s="40">
        <f t="shared" si="0"/>
        <v>1.8</v>
      </c>
      <c r="F8" s="89"/>
      <c r="G8" s="89">
        <f>+IF(F8="",'Costos de Conservación'!$G$40,'Costos de Conservación'!$G$40*0.4)</f>
        <v>8090.2186871901349</v>
      </c>
      <c r="H8" s="104" t="str">
        <f t="shared" ref="H8:H26" si="4">+IF(F8="","",F8*0.03)</f>
        <v/>
      </c>
      <c r="I8" s="63">
        <f>+TPDA!C8</f>
        <v>2362.1921465699306</v>
      </c>
      <c r="J8" s="64">
        <f>+TPDA!D8</f>
        <v>59.69069887170901</v>
      </c>
      <c r="K8" s="64">
        <f>+TPDA!E8</f>
        <v>315.04779967300499</v>
      </c>
      <c r="L8" s="64">
        <f>+TPDA!F8</f>
        <v>84.119347508344902</v>
      </c>
      <c r="M8" s="65">
        <f>+TPDA!G8</f>
        <v>283.72524847473017</v>
      </c>
      <c r="N8" s="59">
        <f>+VLOOKUP($E8,'VOC Rural 110km'!$A$5:$P$29,3,0)+VLOOKUP($E8,'VOC Rural 110km'!$A$5:$P$29,4,0)</f>
        <v>0.32683000000000001</v>
      </c>
      <c r="O8" s="69">
        <f>+VLOOKUP($E8,'VOC Rural 110km'!$A$5:$P$29,6,0)+VLOOKUP($E8,'VOC Rural 110km'!$A$5:$P$29,7,0)</f>
        <v>1.31389</v>
      </c>
      <c r="P8" s="69">
        <f>+VLOOKUP($E8,'VOC Rural 110km'!$A$5:$P$29,9,0)+VLOOKUP($E8,'VOC Rural 110km'!$A$5:$P$29,10,0)</f>
        <v>0.54531000000000007</v>
      </c>
      <c r="Q8" s="69">
        <f>+VLOOKUP($E8,'VOC Rural 110km'!$A$5:$P$29,12,0)+VLOOKUP($E8,'VOC Rural 110km'!$A$5:$P$29,13,0)</f>
        <v>0.9196200000000001</v>
      </c>
      <c r="R8" s="70">
        <f>+VLOOKUP($E8,'VOC Rural 110km'!$A$5:$P$29,15,0)+VLOOKUP($E8,'VOC Rural 110km'!$A$5:$P$29,16,0)</f>
        <v>1.0954900000000001</v>
      </c>
      <c r="S8" s="115">
        <f t="shared" si="1"/>
        <v>1016748.7680864374</v>
      </c>
      <c r="T8" s="104">
        <f t="shared" ref="T8:T26" si="5">S8+C8</f>
        <v>1032726.9499936379</v>
      </c>
    </row>
    <row r="9" spans="2:20">
      <c r="B9" s="6">
        <v>2022</v>
      </c>
      <c r="C9" s="89">
        <f t="shared" si="2"/>
        <v>15978.181907200516</v>
      </c>
      <c r="D9" s="40">
        <f t="shared" si="3"/>
        <v>1.9</v>
      </c>
      <c r="E9" s="40">
        <f t="shared" si="0"/>
        <v>1.9</v>
      </c>
      <c r="F9" s="89"/>
      <c r="G9" s="89">
        <f>+IF(F9="",'Costos de Conservación'!$G$40,'Costos de Conservación'!$G$40*0.4)</f>
        <v>8090.2186871901349</v>
      </c>
      <c r="H9" s="104" t="str">
        <f t="shared" si="4"/>
        <v/>
      </c>
      <c r="I9" s="63">
        <f>+TPDA!C9</f>
        <v>2576.0397480644042</v>
      </c>
      <c r="J9" s="64">
        <f>+TPDA!D9</f>
        <v>60.384973328425637</v>
      </c>
      <c r="K9" s="64">
        <f>+TPDA!E9</f>
        <v>325.86124831074147</v>
      </c>
      <c r="L9" s="64">
        <f>+TPDA!F9</f>
        <v>94.415328521128046</v>
      </c>
      <c r="M9" s="65">
        <f>+TPDA!G9</f>
        <v>306.83449972784786</v>
      </c>
      <c r="N9" s="59">
        <f>+VLOOKUP($E9,'VOC Rural 110km'!$A$5:$P$29,3,0)+VLOOKUP($E9,'VOC Rural 110km'!$A$5:$P$29,4,0)</f>
        <v>0.32691000000000003</v>
      </c>
      <c r="O9" s="69">
        <f>+VLOOKUP($E9,'VOC Rural 110km'!$A$5:$P$29,6,0)+VLOOKUP($E9,'VOC Rural 110km'!$A$5:$P$29,7,0)</f>
        <v>1.3143699999999998</v>
      </c>
      <c r="P9" s="69">
        <f>+VLOOKUP($E9,'VOC Rural 110km'!$A$5:$P$29,9,0)+VLOOKUP($E9,'VOC Rural 110km'!$A$5:$P$29,10,0)</f>
        <v>0.54560999999999993</v>
      </c>
      <c r="Q9" s="69">
        <f>+VLOOKUP($E9,'VOC Rural 110km'!$A$5:$P$29,12,0)+VLOOKUP($E9,'VOC Rural 110km'!$A$5:$P$29,13,0)</f>
        <v>0.92037000000000002</v>
      </c>
      <c r="R9" s="70">
        <f>+VLOOKUP($E9,'VOC Rural 110km'!$A$5:$P$29,15,0)+VLOOKUP($E9,'VOC Rural 110km'!$A$5:$P$29,16,0)</f>
        <v>1.0964400000000001</v>
      </c>
      <c r="S9" s="115">
        <f t="shared" si="1"/>
        <v>1097616.646596797</v>
      </c>
      <c r="T9" s="104">
        <f t="shared" si="5"/>
        <v>1113594.8285039975</v>
      </c>
    </row>
    <row r="10" spans="2:20">
      <c r="B10" s="6">
        <v>2023</v>
      </c>
      <c r="C10" s="89">
        <f t="shared" si="2"/>
        <v>15978.181907200516</v>
      </c>
      <c r="D10" s="40">
        <f t="shared" si="3"/>
        <v>2.0499999999999998</v>
      </c>
      <c r="E10" s="40">
        <f t="shared" si="0"/>
        <v>2.1</v>
      </c>
      <c r="F10" s="89"/>
      <c r="G10" s="89">
        <f>+IF(F10="",'Costos de Conservación'!$G$40,'Costos de Conservación'!$G$40*0.4)</f>
        <v>8090.2186871901349</v>
      </c>
      <c r="H10" s="104" t="str">
        <f t="shared" si="4"/>
        <v/>
      </c>
      <c r="I10" s="63">
        <f>+TPDA!C10</f>
        <v>2801.7240143525787</v>
      </c>
      <c r="J10" s="64">
        <f>+TPDA!D10</f>
        <v>61.064666588210386</v>
      </c>
      <c r="K10" s="64">
        <f>+TPDA!E10</f>
        <v>336.68505553463103</v>
      </c>
      <c r="L10" s="64">
        <f>+TPDA!F10</f>
        <v>105.59872976912716</v>
      </c>
      <c r="M10" s="65">
        <f>+TPDA!G10</f>
        <v>331.01980866539623</v>
      </c>
      <c r="N10" s="59">
        <f>+VLOOKUP($E10,'VOC Rural 110km'!$A$5:$P$29,3,0)+VLOOKUP($E10,'VOC Rural 110km'!$A$5:$P$29,4,0)</f>
        <v>0.32706999999999997</v>
      </c>
      <c r="O10" s="69">
        <f>+VLOOKUP($E10,'VOC Rural 110km'!$A$5:$P$29,6,0)+VLOOKUP($E10,'VOC Rural 110km'!$A$5:$P$29,7,0)</f>
        <v>1.3153699999999999</v>
      </c>
      <c r="P10" s="69">
        <f>+VLOOKUP($E10,'VOC Rural 110km'!$A$5:$P$29,9,0)+VLOOKUP($E10,'VOC Rural 110km'!$A$5:$P$29,10,0)</f>
        <v>0.54621500000000001</v>
      </c>
      <c r="Q10" s="69">
        <f>+VLOOKUP($E10,'VOC Rural 110km'!$A$5:$P$29,12,0)+VLOOKUP($E10,'VOC Rural 110km'!$A$5:$P$29,13,0)</f>
        <v>0.9218900000000001</v>
      </c>
      <c r="R10" s="70">
        <f>+VLOOKUP($E10,'VOC Rural 110km'!$A$5:$P$29,15,0)+VLOOKUP($E10,'VOC Rural 110km'!$A$5:$P$29,16,0)</f>
        <v>1.0983750000000001</v>
      </c>
      <c r="S10" s="115">
        <f t="shared" si="1"/>
        <v>1183330.1726216096</v>
      </c>
      <c r="T10" s="104">
        <f t="shared" si="5"/>
        <v>1199308.3545288101</v>
      </c>
    </row>
    <row r="11" spans="2:20">
      <c r="B11" s="6">
        <v>2024</v>
      </c>
      <c r="C11" s="89">
        <f t="shared" si="2"/>
        <v>15978.181907200516</v>
      </c>
      <c r="D11" s="40">
        <f t="shared" si="3"/>
        <v>2.1999999999999997</v>
      </c>
      <c r="E11" s="40">
        <f t="shared" si="0"/>
        <v>2.2000000000000002</v>
      </c>
      <c r="F11" s="89"/>
      <c r="G11" s="89">
        <f>+IF(F11="",'Costos de Conservación'!$G$40,'Costos de Conservación'!$G$40*0.4)</f>
        <v>8090.2186871901349</v>
      </c>
      <c r="H11" s="104" t="str">
        <f t="shared" si="4"/>
        <v/>
      </c>
      <c r="I11" s="63">
        <f>+TPDA!C11</f>
        <v>3047.180253525994</v>
      </c>
      <c r="J11" s="64">
        <f>+TPDA!D11</f>
        <v>61.752010475327282</v>
      </c>
      <c r="K11" s="64">
        <f>+TPDA!E11</f>
        <v>347.86838633926931</v>
      </c>
      <c r="L11" s="64">
        <f>+TPDA!F11</f>
        <v>118.10679371155049</v>
      </c>
      <c r="M11" s="65">
        <f>+TPDA!G11</f>
        <v>357.11145202402008</v>
      </c>
      <c r="N11" s="59">
        <f>+VLOOKUP($E11,'VOC Rural 110km'!$A$5:$P$29,3,0)+VLOOKUP($E11,'VOC Rural 110km'!$A$5:$P$29,4,0)</f>
        <v>0.32715</v>
      </c>
      <c r="O11" s="69">
        <f>+VLOOKUP($E11,'VOC Rural 110km'!$A$5:$P$29,6,0)+VLOOKUP($E11,'VOC Rural 110km'!$A$5:$P$29,7,0)</f>
        <v>1.31589</v>
      </c>
      <c r="P11" s="69">
        <f>+VLOOKUP($E11,'VOC Rural 110km'!$A$5:$P$29,9,0)+VLOOKUP($E11,'VOC Rural 110km'!$A$5:$P$29,10,0)</f>
        <v>0.54652000000000001</v>
      </c>
      <c r="Q11" s="69">
        <f>+VLOOKUP($E11,'VOC Rural 110km'!$A$5:$P$29,12,0)+VLOOKUP($E11,'VOC Rural 110km'!$A$5:$P$29,13,0)</f>
        <v>0.92266000000000004</v>
      </c>
      <c r="R11" s="70">
        <f>+VLOOKUP($E11,'VOC Rural 110km'!$A$5:$P$29,15,0)+VLOOKUP($E11,'VOC Rural 110km'!$A$5:$P$29,16,0)</f>
        <v>1.0993599999999999</v>
      </c>
      <c r="S11" s="115">
        <f t="shared" si="1"/>
        <v>1275824.3008004404</v>
      </c>
      <c r="T11" s="104">
        <f t="shared" si="5"/>
        <v>1291802.4827076409</v>
      </c>
    </row>
    <row r="12" spans="2:20">
      <c r="B12" s="6">
        <v>2025</v>
      </c>
      <c r="C12" s="89">
        <f t="shared" si="2"/>
        <v>15978.181907200516</v>
      </c>
      <c r="D12" s="40">
        <f t="shared" si="3"/>
        <v>2.3499999999999996</v>
      </c>
      <c r="E12" s="40">
        <f t="shared" si="0"/>
        <v>2.4</v>
      </c>
      <c r="F12" s="89"/>
      <c r="G12" s="89">
        <f>+IF(F12="",'Costos de Conservación'!$G$40,'Costos de Conservación'!$G$40*0.4)</f>
        <v>8090.2186871901349</v>
      </c>
      <c r="H12" s="104" t="str">
        <f t="shared" si="4"/>
        <v/>
      </c>
      <c r="I12" s="63">
        <f>+TPDA!C12</f>
        <v>3314.1406683571527</v>
      </c>
      <c r="J12" s="64">
        <f>+TPDA!D12</f>
        <v>62.447091105237561</v>
      </c>
      <c r="K12" s="64">
        <f>+TPDA!E12</f>
        <v>359.42318265991452</v>
      </c>
      <c r="L12" s="64">
        <f>+TPDA!F12</f>
        <v>132.09642531988993</v>
      </c>
      <c r="M12" s="65">
        <f>+TPDA!G12</f>
        <v>385.25969089545737</v>
      </c>
      <c r="N12" s="59">
        <f>+VLOOKUP($E12,'VOC Rural 110km'!$A$5:$P$29,3,0)+VLOOKUP($E12,'VOC Rural 110km'!$A$5:$P$29,4,0)</f>
        <v>0.32733999999999996</v>
      </c>
      <c r="O12" s="69">
        <f>+VLOOKUP($E12,'VOC Rural 110km'!$A$5:$P$29,6,0)+VLOOKUP($E12,'VOC Rural 110km'!$A$5:$P$29,7,0)</f>
        <v>1.31714</v>
      </c>
      <c r="P12" s="69">
        <f>+VLOOKUP($E12,'VOC Rural 110km'!$A$5:$P$29,9,0)+VLOOKUP($E12,'VOC Rural 110km'!$A$5:$P$29,10,0)</f>
        <v>0.54720999999999997</v>
      </c>
      <c r="Q12" s="69">
        <f>+VLOOKUP($E12,'VOC Rural 110km'!$A$5:$P$29,12,0)+VLOOKUP($E12,'VOC Rural 110km'!$A$5:$P$29,13,0)</f>
        <v>0.9243300000000001</v>
      </c>
      <c r="R12" s="70">
        <f>+VLOOKUP($E12,'VOC Rural 110km'!$A$5:$P$29,15,0)+VLOOKUP($E12,'VOC Rural 110km'!$A$5:$P$29,16,0)</f>
        <v>1.1014699999999999</v>
      </c>
      <c r="S12" s="115">
        <f t="shared" si="1"/>
        <v>1377040.6615998053</v>
      </c>
      <c r="T12" s="104">
        <f t="shared" si="5"/>
        <v>1393018.8435070058</v>
      </c>
    </row>
    <row r="13" spans="2:20">
      <c r="B13" s="6">
        <v>2026</v>
      </c>
      <c r="C13" s="89">
        <f t="shared" si="2"/>
        <v>15978.181907200516</v>
      </c>
      <c r="D13" s="40">
        <f t="shared" si="3"/>
        <v>2.4999999999999996</v>
      </c>
      <c r="E13" s="40">
        <f t="shared" si="0"/>
        <v>2.5</v>
      </c>
      <c r="F13" s="89"/>
      <c r="G13" s="89">
        <f>+IF(F13="",'Costos de Conservación'!$G$40,'Costos de Conservación'!$G$40*0.4)</f>
        <v>8090.2186871901349</v>
      </c>
      <c r="H13" s="104" t="str">
        <f t="shared" si="4"/>
        <v/>
      </c>
      <c r="I13" s="63">
        <f>+TPDA!C13</f>
        <v>3604.4892181712544</v>
      </c>
      <c r="J13" s="64">
        <f>+TPDA!D13</f>
        <v>63.149995562718111</v>
      </c>
      <c r="K13" s="64">
        <f>+TPDA!E13</f>
        <v>371.36178309514622</v>
      </c>
      <c r="L13" s="64">
        <f>+TPDA!F13</f>
        <v>147.74311480260559</v>
      </c>
      <c r="M13" s="65">
        <f>+TPDA!G13</f>
        <v>415.62663025121907</v>
      </c>
      <c r="N13" s="59">
        <f>+VLOOKUP($E13,'VOC Rural 110km'!$A$5:$P$29,3,0)+VLOOKUP($E13,'VOC Rural 110km'!$A$5:$P$29,4,0)</f>
        <v>0.327455</v>
      </c>
      <c r="O13" s="69">
        <f>+VLOOKUP($E13,'VOC Rural 110km'!$A$5:$P$29,6,0)+VLOOKUP($E13,'VOC Rural 110km'!$A$5:$P$29,7,0)</f>
        <v>1.3180099999999999</v>
      </c>
      <c r="P13" s="69">
        <f>+VLOOKUP($E13,'VOC Rural 110km'!$A$5:$P$29,9,0)+VLOOKUP($E13,'VOC Rural 110km'!$A$5:$P$29,10,0)</f>
        <v>0.54764000000000002</v>
      </c>
      <c r="Q13" s="69">
        <f>+VLOOKUP($E13,'VOC Rural 110km'!$A$5:$P$29,12,0)+VLOOKUP($E13,'VOC Rural 110km'!$A$5:$P$29,13,0)</f>
        <v>0.92532999999999999</v>
      </c>
      <c r="R13" s="70">
        <f>+VLOOKUP($E13,'VOC Rural 110km'!$A$5:$P$29,15,0)+VLOOKUP($E13,'VOC Rural 110km'!$A$5:$P$29,16,0)</f>
        <v>1.1027199999999999</v>
      </c>
      <c r="S13" s="115">
        <f t="shared" si="1"/>
        <v>1486403.768264544</v>
      </c>
      <c r="T13" s="104">
        <f t="shared" si="5"/>
        <v>1502381.9501717445</v>
      </c>
    </row>
    <row r="14" spans="2:20">
      <c r="B14" s="6">
        <v>2027</v>
      </c>
      <c r="C14" s="89">
        <f t="shared" si="2"/>
        <v>15978.181907200516</v>
      </c>
      <c r="D14" s="40">
        <f t="shared" si="3"/>
        <v>2.6499999999999995</v>
      </c>
      <c r="E14" s="40">
        <f t="shared" si="0"/>
        <v>2.7</v>
      </c>
      <c r="F14" s="89"/>
      <c r="G14" s="89">
        <f>+IF(F14="",'Costos de Conservación'!$G$40,'Costos de Conservación'!$G$40*0.4)</f>
        <v>8090.2186871901349</v>
      </c>
      <c r="H14" s="104" t="str">
        <f t="shared" si="4"/>
        <v/>
      </c>
      <c r="I14" s="63">
        <f>+TPDA!C14</f>
        <v>3920.2749140860201</v>
      </c>
      <c r="J14" s="64">
        <f>+TPDA!D14</f>
        <v>63.860811912772064</v>
      </c>
      <c r="K14" s="64">
        <f>+TPDA!E14</f>
        <v>383.6969360824346</v>
      </c>
      <c r="L14" s="64">
        <f>+TPDA!F14</f>
        <v>165.24313900785941</v>
      </c>
      <c r="M14" s="65">
        <f>+TPDA!G14</f>
        <v>448.38715250088063</v>
      </c>
      <c r="N14" s="59">
        <f>+VLOOKUP($E14,'VOC Rural 110km'!$A$5:$P$29,3,0)+VLOOKUP($E14,'VOC Rural 110km'!$A$5:$P$29,4,0)</f>
        <v>0.32774000000000003</v>
      </c>
      <c r="O14" s="69">
        <f>+VLOOKUP($E14,'VOC Rural 110km'!$A$5:$P$29,6,0)+VLOOKUP($E14,'VOC Rural 110km'!$A$5:$P$29,7,0)</f>
        <v>1.320335</v>
      </c>
      <c r="P14" s="69">
        <f>+VLOOKUP($E14,'VOC Rural 110km'!$A$5:$P$29,9,0)+VLOOKUP($E14,'VOC Rural 110km'!$A$5:$P$29,10,0)</f>
        <v>0.54871999999999999</v>
      </c>
      <c r="Q14" s="69">
        <f>+VLOOKUP($E14,'VOC Rural 110km'!$A$5:$P$29,12,0)+VLOOKUP($E14,'VOC Rural 110km'!$A$5:$P$29,13,0)</f>
        <v>0.927705</v>
      </c>
      <c r="R14" s="70">
        <f>+VLOOKUP($E14,'VOC Rural 110km'!$A$5:$P$29,15,0)+VLOOKUP($E14,'VOC Rural 110km'!$A$5:$P$29,16,0)</f>
        <v>1.1056600000000001</v>
      </c>
      <c r="S14" s="115">
        <f t="shared" si="1"/>
        <v>1606651.1463818802</v>
      </c>
      <c r="T14" s="104">
        <f t="shared" si="5"/>
        <v>1622629.3282890806</v>
      </c>
    </row>
    <row r="15" spans="2:20">
      <c r="B15" s="6">
        <v>2028</v>
      </c>
      <c r="C15" s="89">
        <f t="shared" si="2"/>
        <v>15978.181907200516</v>
      </c>
      <c r="D15" s="40">
        <f t="shared" si="3"/>
        <v>2.7999999999999994</v>
      </c>
      <c r="E15" s="40">
        <f t="shared" si="0"/>
        <v>2.8</v>
      </c>
      <c r="F15" s="89"/>
      <c r="G15" s="89">
        <f>+IF(F15="",'Costos de Conservación'!$G$40,'Costos de Conservación'!$G$40*0.4)</f>
        <v>8090.2186871901349</v>
      </c>
      <c r="H15" s="104" t="str">
        <f t="shared" si="4"/>
        <v/>
      </c>
      <c r="I15" s="63">
        <f>+TPDA!C15</f>
        <v>4263.726279034182</v>
      </c>
      <c r="J15" s="64">
        <f>+TPDA!D15</f>
        <v>64.579629211662223</v>
      </c>
      <c r="K15" s="64">
        <f>+TPDA!E15</f>
        <v>396.4418135113487</v>
      </c>
      <c r="L15" s="64">
        <f>+TPDA!F15</f>
        <v>184.81602358020135</v>
      </c>
      <c r="M15" s="65">
        <f>+TPDA!G15</f>
        <v>483.729924635305</v>
      </c>
      <c r="N15" s="59">
        <f>+VLOOKUP($E15,'VOC Rural 110km'!$A$5:$P$29,3,0)+VLOOKUP($E15,'VOC Rural 110km'!$A$5:$P$29,4,0)</f>
        <v>0.32790999999999998</v>
      </c>
      <c r="O15" s="69">
        <f>+VLOOKUP($E15,'VOC Rural 110km'!$A$5:$P$29,6,0)+VLOOKUP($E15,'VOC Rural 110km'!$A$5:$P$29,7,0)</f>
        <v>1.32179</v>
      </c>
      <c r="P15" s="69">
        <f>+VLOOKUP($E15,'VOC Rural 110km'!$A$5:$P$29,9,0)+VLOOKUP($E15,'VOC Rural 110km'!$A$5:$P$29,10,0)</f>
        <v>0.54937000000000002</v>
      </c>
      <c r="Q15" s="69">
        <f>+VLOOKUP($E15,'VOC Rural 110km'!$A$5:$P$29,12,0)+VLOOKUP($E15,'VOC Rural 110km'!$A$5:$P$29,13,0)</f>
        <v>0.92908000000000002</v>
      </c>
      <c r="R15" s="70">
        <f>+VLOOKUP($E15,'VOC Rural 110km'!$A$5:$P$29,15,0)+VLOOKUP($E15,'VOC Rural 110km'!$A$5:$P$29,16,0)</f>
        <v>1.1073500000000001</v>
      </c>
      <c r="S15" s="115">
        <f t="shared" si="1"/>
        <v>1736328.0965744762</v>
      </c>
      <c r="T15" s="104">
        <f t="shared" si="5"/>
        <v>1752306.2784816767</v>
      </c>
    </row>
    <row r="16" spans="2:20">
      <c r="B16" s="6">
        <v>2029</v>
      </c>
      <c r="C16" s="89">
        <f t="shared" si="2"/>
        <v>15978.181907200516</v>
      </c>
      <c r="D16" s="40">
        <f t="shared" si="3"/>
        <v>2.9499999999999993</v>
      </c>
      <c r="E16" s="40">
        <f t="shared" si="0"/>
        <v>3</v>
      </c>
      <c r="F16" s="89"/>
      <c r="G16" s="89">
        <f>+IF(F16="",'Costos de Conservación'!$G$40,'Costos de Conservación'!$G$40*0.4)</f>
        <v>8090.2186871901349</v>
      </c>
      <c r="H16" s="104" t="str">
        <f t="shared" si="4"/>
        <v/>
      </c>
      <c r="I16" s="63">
        <f>+TPDA!C16</f>
        <v>4637.2670746140875</v>
      </c>
      <c r="J16" s="64">
        <f>+TPDA!D16</f>
        <v>65.30653751806868</v>
      </c>
      <c r="K16" s="64">
        <f>+TPDA!E16</f>
        <v>409.61002478894159</v>
      </c>
      <c r="L16" s="64">
        <f>+TPDA!F16</f>
        <v>206.70729675725264</v>
      </c>
      <c r="M16" s="65">
        <f>+TPDA!G16</f>
        <v>521.858484754909</v>
      </c>
      <c r="N16" s="59">
        <f>+VLOOKUP($E16,'VOC Rural 110km'!$A$5:$P$29,3,0)+VLOOKUP($E16,'VOC Rural 110km'!$A$5:$P$29,4,0)</f>
        <v>0.32846999999999998</v>
      </c>
      <c r="O16" s="69">
        <f>+VLOOKUP($E16,'VOC Rural 110km'!$A$5:$P$29,6,0)+VLOOKUP($E16,'VOC Rural 110km'!$A$5:$P$29,7,0)</f>
        <v>1.32735</v>
      </c>
      <c r="P16" s="69">
        <f>+VLOOKUP($E16,'VOC Rural 110km'!$A$5:$P$29,9,0)+VLOOKUP($E16,'VOC Rural 110km'!$A$5:$P$29,10,0)</f>
        <v>0.55162</v>
      </c>
      <c r="Q16" s="69">
        <f>+VLOOKUP($E16,'VOC Rural 110km'!$A$5:$P$29,12,0)+VLOOKUP($E16,'VOC Rural 110km'!$A$5:$P$29,13,0)</f>
        <v>0.93352999999999997</v>
      </c>
      <c r="R16" s="70">
        <f>+VLOOKUP($E16,'VOC Rural 110km'!$A$5:$P$29,15,0)+VLOOKUP($E16,'VOC Rural 110km'!$A$5:$P$29,16,0)</f>
        <v>1.1127400000000001</v>
      </c>
      <c r="S16" s="115">
        <f t="shared" si="1"/>
        <v>1881121.2244964833</v>
      </c>
      <c r="T16" s="104">
        <f t="shared" si="5"/>
        <v>1897099.4064036838</v>
      </c>
    </row>
    <row r="17" spans="2:20">
      <c r="B17" s="46">
        <v>2030</v>
      </c>
      <c r="C17" s="105">
        <f t="shared" si="2"/>
        <v>412748.42930907337</v>
      </c>
      <c r="D17" s="47">
        <v>2</v>
      </c>
      <c r="E17" s="47">
        <f t="shared" si="0"/>
        <v>2</v>
      </c>
      <c r="F17" s="105">
        <f>+'Costos de Conservación'!J9</f>
        <v>199757.72719488418</v>
      </c>
      <c r="G17" s="105">
        <f>+IF(F17="",'Costos de Conservación'!$G$40,'Costos de Conservación'!$G$40*0.4)</f>
        <v>3236.0874748760543</v>
      </c>
      <c r="H17" s="106">
        <f t="shared" si="4"/>
        <v>5992.731815846525</v>
      </c>
      <c r="I17" s="63">
        <f>+TPDA!C17</f>
        <v>5043.533405753954</v>
      </c>
      <c r="J17" s="64">
        <f>+TPDA!D17</f>
        <v>66.041627904372049</v>
      </c>
      <c r="K17" s="64">
        <f>+TPDA!E17</f>
        <v>423.21563137233102</v>
      </c>
      <c r="L17" s="64">
        <f>+TPDA!F17</f>
        <v>231.19156935085249</v>
      </c>
      <c r="M17" s="65">
        <f>+TPDA!G17</f>
        <v>562.99241424026036</v>
      </c>
      <c r="N17" s="59">
        <f>+VLOOKUP($E17,'VOC Rural 110km'!$A$5:$P$29,3,0)+VLOOKUP($E17,'VOC Rural 110km'!$A$5:$P$29,4,0)</f>
        <v>0.32699</v>
      </c>
      <c r="O17" s="69">
        <f>+VLOOKUP($E17,'VOC Rural 110km'!$A$5:$P$29,6,0)+VLOOKUP($E17,'VOC Rural 110km'!$A$5:$P$29,7,0)</f>
        <v>1.3148499999999999</v>
      </c>
      <c r="P17" s="69">
        <f>+VLOOKUP($E17,'VOC Rural 110km'!$A$5:$P$29,9,0)+VLOOKUP($E17,'VOC Rural 110km'!$A$5:$P$29,10,0)</f>
        <v>0.54591000000000001</v>
      </c>
      <c r="Q17" s="69">
        <f>+VLOOKUP($E17,'VOC Rural 110km'!$A$5:$P$29,12,0)+VLOOKUP($E17,'VOC Rural 110km'!$A$5:$P$29,13,0)</f>
        <v>0.92112000000000005</v>
      </c>
      <c r="R17" s="70">
        <f>+VLOOKUP($E17,'VOC Rural 110km'!$A$5:$P$29,15,0)+VLOOKUP($E17,'VOC Rural 110km'!$A$5:$P$29,16,0)</f>
        <v>1.0973900000000001</v>
      </c>
      <c r="S17" s="115">
        <f t="shared" si="1"/>
        <v>2016889.227729839</v>
      </c>
      <c r="T17" s="104">
        <f t="shared" si="5"/>
        <v>2429637.6570389122</v>
      </c>
    </row>
    <row r="18" spans="2:20">
      <c r="B18" s="6">
        <v>2031</v>
      </c>
      <c r="C18" s="89">
        <f t="shared" si="2"/>
        <v>15978.181907200516</v>
      </c>
      <c r="D18" s="40">
        <f t="shared" ref="D18:D23" si="6">+IF(D17&lt;$B$31,D17+$C$31,(IF(D17&lt;$B$32,D17+$C$32,(IF(D17&lt;$B$33,D17+$C$33,D17+$C$34)))))</f>
        <v>2.15</v>
      </c>
      <c r="E18" s="40">
        <f t="shared" si="0"/>
        <v>2.2000000000000002</v>
      </c>
      <c r="F18" s="89"/>
      <c r="G18" s="89">
        <f>+IF(F18="",'Costos de Conservación'!$G$40,'Costos de Conservación'!$G$40*0.4)</f>
        <v>8090.2186871901349</v>
      </c>
      <c r="H18" s="104" t="str">
        <f t="shared" si="4"/>
        <v/>
      </c>
      <c r="I18" s="63">
        <f>+TPDA!C18</f>
        <v>5485.3923238986526</v>
      </c>
      <c r="J18" s="64">
        <f>+TPDA!D18</f>
        <v>66.784992468063663</v>
      </c>
      <c r="K18" s="64">
        <f>+TPDA!E18</f>
        <v>437.27316178399434</v>
      </c>
      <c r="L18" s="64">
        <f>+TPDA!F18</f>
        <v>258.57597954889161</v>
      </c>
      <c r="M18" s="65">
        <f>+TPDA!G18</f>
        <v>607.36860231550611</v>
      </c>
      <c r="N18" s="59">
        <f>+VLOOKUP($E18,'VOC Rural 110km'!$A$5:$P$29,3,0)+VLOOKUP($E18,'VOC Rural 110km'!$A$5:$P$29,4,0)</f>
        <v>0.32715</v>
      </c>
      <c r="O18" s="69">
        <f>+VLOOKUP($E18,'VOC Rural 110km'!$A$5:$P$29,6,0)+VLOOKUP($E18,'VOC Rural 110km'!$A$5:$P$29,7,0)</f>
        <v>1.31589</v>
      </c>
      <c r="P18" s="69">
        <f>+VLOOKUP($E18,'VOC Rural 110km'!$A$5:$P$29,9,0)+VLOOKUP($E18,'VOC Rural 110km'!$A$5:$P$29,10,0)</f>
        <v>0.54652000000000001</v>
      </c>
      <c r="Q18" s="69">
        <f>+VLOOKUP($E18,'VOC Rural 110km'!$A$5:$P$29,12,0)+VLOOKUP($E18,'VOC Rural 110km'!$A$5:$P$29,13,0)</f>
        <v>0.92266000000000004</v>
      </c>
      <c r="R18" s="70">
        <f>+VLOOKUP($E18,'VOC Rural 110km'!$A$5:$P$29,15,0)+VLOOKUP($E18,'VOC Rural 110km'!$A$5:$P$29,16,0)</f>
        <v>1.0993599999999999</v>
      </c>
      <c r="S18" s="115">
        <f t="shared" si="1"/>
        <v>2182593.8075770251</v>
      </c>
      <c r="T18" s="104">
        <f t="shared" si="5"/>
        <v>2198571.9894842259</v>
      </c>
    </row>
    <row r="19" spans="2:20">
      <c r="B19" s="6">
        <v>2032</v>
      </c>
      <c r="C19" s="89">
        <f t="shared" si="2"/>
        <v>15978.181907200516</v>
      </c>
      <c r="D19" s="40">
        <f t="shared" si="6"/>
        <v>2.2999999999999998</v>
      </c>
      <c r="E19" s="40">
        <f t="shared" si="0"/>
        <v>2.2999999999999998</v>
      </c>
      <c r="F19" s="89"/>
      <c r="G19" s="89">
        <f>+IF(F19="",'Costos de Conservación'!$G$40,'Costos de Conservación'!$G$40*0.4)</f>
        <v>8090.2186871901349</v>
      </c>
      <c r="H19" s="104" t="str">
        <f t="shared" si="4"/>
        <v/>
      </c>
      <c r="I19" s="63">
        <f>+TPDA!C19</f>
        <v>5965.9620600030894</v>
      </c>
      <c r="J19" s="64">
        <f>+TPDA!D19</f>
        <v>67.536724343284178</v>
      </c>
      <c r="K19" s="64">
        <f>+TPDA!E19</f>
        <v>451.7976271258114</v>
      </c>
      <c r="L19" s="64">
        <f>+TPDA!F19</f>
        <v>289.20404575047826</v>
      </c>
      <c r="M19" s="65">
        <f>+TPDA!G19</f>
        <v>655.24261028721889</v>
      </c>
      <c r="N19" s="59">
        <f>+VLOOKUP($E19,'VOC Rural 110km'!$A$5:$P$29,3,0)+VLOOKUP($E19,'VOC Rural 110km'!$A$5:$P$29,4,0)</f>
        <v>0.32724500000000001</v>
      </c>
      <c r="O19" s="69">
        <f>+VLOOKUP($E19,'VOC Rural 110km'!$A$5:$P$29,6,0)+VLOOKUP($E19,'VOC Rural 110km'!$A$5:$P$29,7,0)</f>
        <v>1.3165149999999999</v>
      </c>
      <c r="P19" s="69">
        <f>+VLOOKUP($E19,'VOC Rural 110km'!$A$5:$P$29,9,0)+VLOOKUP($E19,'VOC Rural 110km'!$A$5:$P$29,10,0)</f>
        <v>0.54686500000000005</v>
      </c>
      <c r="Q19" s="69">
        <f>+VLOOKUP($E19,'VOC Rural 110km'!$A$5:$P$29,12,0)+VLOOKUP($E19,'VOC Rural 110km'!$A$5:$P$29,13,0)</f>
        <v>0.92349500000000007</v>
      </c>
      <c r="R19" s="70">
        <f>+VLOOKUP($E19,'VOC Rural 110km'!$A$5:$P$29,15,0)+VLOOKUP($E19,'VOC Rural 110km'!$A$5:$P$29,16,0)</f>
        <v>1.1004149999999999</v>
      </c>
      <c r="S19" s="115">
        <f t="shared" si="1"/>
        <v>2361899.3320411616</v>
      </c>
      <c r="T19" s="104">
        <f t="shared" si="5"/>
        <v>2377877.5139483623</v>
      </c>
    </row>
    <row r="20" spans="2:20">
      <c r="B20" s="6">
        <v>2033</v>
      </c>
      <c r="C20" s="89">
        <f t="shared" si="2"/>
        <v>15978.181907200516</v>
      </c>
      <c r="D20" s="40">
        <f t="shared" si="6"/>
        <v>2.4499999999999997</v>
      </c>
      <c r="E20" s="40">
        <f t="shared" si="0"/>
        <v>2.5</v>
      </c>
      <c r="F20" s="89"/>
      <c r="G20" s="89">
        <f>+IF(F20="",'Costos de Conservación'!$G$40,'Costos de Conservación'!$G$40*0.4)</f>
        <v>8090.2186871901349</v>
      </c>
      <c r="H20" s="104" t="str">
        <f t="shared" si="4"/>
        <v/>
      </c>
      <c r="I20" s="63">
        <f>+TPDA!C20</f>
        <v>6488.6340301179007</v>
      </c>
      <c r="J20" s="64">
        <f>+TPDA!D20</f>
        <v>68.296917712492188</v>
      </c>
      <c r="K20" s="64">
        <f>+TPDA!E20</f>
        <v>466.80453710842238</v>
      </c>
      <c r="L20" s="64">
        <f>+TPDA!F20</f>
        <v>323.4599757655767</v>
      </c>
      <c r="M20" s="65">
        <f>+TPDA!G20</f>
        <v>706.89014331527801</v>
      </c>
      <c r="N20" s="59">
        <f>+VLOOKUP($E20,'VOC Rural 110km'!$A$5:$P$29,3,0)+VLOOKUP($E20,'VOC Rural 110km'!$A$5:$P$29,4,0)</f>
        <v>0.327455</v>
      </c>
      <c r="O20" s="69">
        <f>+VLOOKUP($E20,'VOC Rural 110km'!$A$5:$P$29,6,0)+VLOOKUP($E20,'VOC Rural 110km'!$A$5:$P$29,7,0)</f>
        <v>1.3180099999999999</v>
      </c>
      <c r="P20" s="69">
        <f>+VLOOKUP($E20,'VOC Rural 110km'!$A$5:$P$29,9,0)+VLOOKUP($E20,'VOC Rural 110km'!$A$5:$P$29,10,0)</f>
        <v>0.54764000000000002</v>
      </c>
      <c r="Q20" s="69">
        <f>+VLOOKUP($E20,'VOC Rural 110km'!$A$5:$P$29,12,0)+VLOOKUP($E20,'VOC Rural 110km'!$A$5:$P$29,13,0)</f>
        <v>0.92532999999999999</v>
      </c>
      <c r="R20" s="70">
        <f>+VLOOKUP($E20,'VOC Rural 110km'!$A$5:$P$29,15,0)+VLOOKUP($E20,'VOC Rural 110km'!$A$5:$P$29,16,0)</f>
        <v>1.1027199999999999</v>
      </c>
      <c r="S20" s="115">
        <f t="shared" si="1"/>
        <v>2558530.7262952346</v>
      </c>
      <c r="T20" s="104">
        <f t="shared" si="5"/>
        <v>2574508.9082024354</v>
      </c>
    </row>
    <row r="21" spans="2:20">
      <c r="B21" s="6">
        <v>2034</v>
      </c>
      <c r="C21" s="89">
        <f t="shared" si="2"/>
        <v>15978.181907200516</v>
      </c>
      <c r="D21" s="40">
        <f t="shared" si="6"/>
        <v>2.5999999999999996</v>
      </c>
      <c r="E21" s="40">
        <f t="shared" si="0"/>
        <v>2.6</v>
      </c>
      <c r="F21" s="89"/>
      <c r="G21" s="89">
        <f>+IF(F21="",'Costos de Conservación'!$G$40,'Costos de Conservación'!$G$40*0.4)</f>
        <v>8090.2186871901349</v>
      </c>
      <c r="H21" s="104" t="str">
        <f t="shared" si="4"/>
        <v/>
      </c>
      <c r="I21" s="63">
        <f>+TPDA!C21</f>
        <v>7057.0967688624996</v>
      </c>
      <c r="J21" s="64">
        <f>+TPDA!D21</f>
        <v>69.065667818264004</v>
      </c>
      <c r="K21" s="64">
        <f>+TPDA!E21</f>
        <v>482.30991661301567</v>
      </c>
      <c r="L21" s="64">
        <f>+TPDA!F21</f>
        <v>361.77348643503348</v>
      </c>
      <c r="M21" s="65">
        <f>+TPDA!G21</f>
        <v>762.6086381916748</v>
      </c>
      <c r="N21" s="59">
        <f>+VLOOKUP($E21,'VOC Rural 110km'!$A$5:$P$29,3,0)+VLOOKUP($E21,'VOC Rural 110km'!$A$5:$P$29,4,0)</f>
        <v>0.32757000000000003</v>
      </c>
      <c r="O21" s="69">
        <f>+VLOOKUP($E21,'VOC Rural 110km'!$A$5:$P$29,6,0)+VLOOKUP($E21,'VOC Rural 110km'!$A$5:$P$29,7,0)</f>
        <v>1.3188800000000001</v>
      </c>
      <c r="P21" s="69">
        <f>+VLOOKUP($E21,'VOC Rural 110km'!$A$5:$P$29,9,0)+VLOOKUP($E21,'VOC Rural 110km'!$A$5:$P$29,10,0)</f>
        <v>0.54806999999999995</v>
      </c>
      <c r="Q21" s="69">
        <f>+VLOOKUP($E21,'VOC Rural 110km'!$A$5:$P$29,12,0)+VLOOKUP($E21,'VOC Rural 110km'!$A$5:$P$29,13,0)</f>
        <v>0.92632999999999999</v>
      </c>
      <c r="R21" s="70">
        <f>+VLOOKUP($E21,'VOC Rural 110km'!$A$5:$P$29,15,0)+VLOOKUP($E21,'VOC Rural 110km'!$A$5:$P$29,16,0)</f>
        <v>1.1039699999999999</v>
      </c>
      <c r="S21" s="115">
        <f t="shared" si="1"/>
        <v>2771145.0024730349</v>
      </c>
      <c r="T21" s="104">
        <f t="shared" si="5"/>
        <v>2787123.1843802356</v>
      </c>
    </row>
    <row r="22" spans="2:20">
      <c r="B22" s="6">
        <v>2035</v>
      </c>
      <c r="C22" s="89">
        <f t="shared" si="2"/>
        <v>15978.181907200516</v>
      </c>
      <c r="D22" s="40">
        <f t="shared" si="6"/>
        <v>2.7499999999999996</v>
      </c>
      <c r="E22" s="40">
        <f t="shared" si="0"/>
        <v>2.8</v>
      </c>
      <c r="F22" s="89"/>
      <c r="G22" s="89">
        <f>+IF(F22="",'Costos de Conservación'!$G$40,'Costos de Conservación'!$G$40*0.4)</f>
        <v>8090.2186871901349</v>
      </c>
      <c r="H22" s="104" t="str">
        <f t="shared" si="4"/>
        <v/>
      </c>
      <c r="I22" s="63">
        <f>+TPDA!C22</f>
        <v>7675.3619596857743</v>
      </c>
      <c r="J22" s="64">
        <f>+TPDA!D22</f>
        <v>69.843070975226382</v>
      </c>
      <c r="K22" s="64">
        <f>+TPDA!E22</f>
        <v>498.33032280323357</v>
      </c>
      <c r="L22" s="64">
        <f>+TPDA!F22</f>
        <v>404.62519412977673</v>
      </c>
      <c r="M22" s="65">
        <f>+TPDA!G22</f>
        <v>822.71897627121893</v>
      </c>
      <c r="N22" s="59">
        <f>+VLOOKUP($E22,'VOC Rural 110km'!$A$5:$P$29,3,0)+VLOOKUP($E22,'VOC Rural 110km'!$A$5:$P$29,4,0)</f>
        <v>0.32790999999999998</v>
      </c>
      <c r="O22" s="69">
        <f>+VLOOKUP($E22,'VOC Rural 110km'!$A$5:$P$29,6,0)+VLOOKUP($E22,'VOC Rural 110km'!$A$5:$P$29,7,0)</f>
        <v>1.32179</v>
      </c>
      <c r="P22" s="69">
        <f>+VLOOKUP($E22,'VOC Rural 110km'!$A$5:$P$29,9,0)+VLOOKUP($E22,'VOC Rural 110km'!$A$5:$P$29,10,0)</f>
        <v>0.54937000000000002</v>
      </c>
      <c r="Q22" s="69">
        <f>+VLOOKUP($E22,'VOC Rural 110km'!$A$5:$P$29,12,0)+VLOOKUP($E22,'VOC Rural 110km'!$A$5:$P$29,13,0)</f>
        <v>0.92908000000000002</v>
      </c>
      <c r="R22" s="70">
        <f>+VLOOKUP($E22,'VOC Rural 110km'!$A$5:$P$29,15,0)+VLOOKUP($E22,'VOC Rural 110km'!$A$5:$P$29,16,0)</f>
        <v>1.1073500000000001</v>
      </c>
      <c r="S22" s="115">
        <f t="shared" si="1"/>
        <v>3005962.6603388689</v>
      </c>
      <c r="T22" s="104">
        <f t="shared" si="5"/>
        <v>3021940.8422460696</v>
      </c>
    </row>
    <row r="23" spans="2:20">
      <c r="B23" s="6">
        <v>2036</v>
      </c>
      <c r="C23" s="89">
        <f t="shared" si="2"/>
        <v>15978.181907200516</v>
      </c>
      <c r="D23" s="40">
        <f t="shared" si="6"/>
        <v>2.8999999999999995</v>
      </c>
      <c r="E23" s="40">
        <f t="shared" si="0"/>
        <v>2.9</v>
      </c>
      <c r="F23" s="89"/>
      <c r="G23" s="89">
        <f>+IF(F23="",'Costos de Conservación'!$G$40,'Costos de Conservación'!$G$40*0.4)</f>
        <v>8090.2186871901349</v>
      </c>
      <c r="H23" s="104" t="str">
        <f t="shared" si="4"/>
        <v/>
      </c>
      <c r="I23" s="63">
        <f>+TPDA!C23</f>
        <v>8347.7927456118869</v>
      </c>
      <c r="J23" s="64">
        <f>+TPDA!D23</f>
        <v>70.629224582123527</v>
      </c>
      <c r="K23" s="64">
        <f>+TPDA!E23</f>
        <v>514.88286280546572</v>
      </c>
      <c r="L23" s="64">
        <f>+TPDA!F23</f>
        <v>452.55264374925463</v>
      </c>
      <c r="M23" s="65">
        <f>+TPDA!G23</f>
        <v>887.567331418869</v>
      </c>
      <c r="N23" s="59">
        <f>+VLOOKUP($E23,'VOC Rural 110km'!$A$5:$P$29,3,0)+VLOOKUP($E23,'VOC Rural 110km'!$A$5:$P$29,4,0)</f>
        <v>0.32818999999999998</v>
      </c>
      <c r="O23" s="69">
        <f>+VLOOKUP($E23,'VOC Rural 110km'!$A$5:$P$29,6,0)+VLOOKUP($E23,'VOC Rural 110km'!$A$5:$P$29,7,0)</f>
        <v>1.32457</v>
      </c>
      <c r="P23" s="69">
        <f>+VLOOKUP($E23,'VOC Rural 110km'!$A$5:$P$29,9,0)+VLOOKUP($E23,'VOC Rural 110km'!$A$5:$P$29,10,0)</f>
        <v>0.55049500000000007</v>
      </c>
      <c r="Q23" s="69">
        <f>+VLOOKUP($E23,'VOC Rural 110km'!$A$5:$P$29,12,0)+VLOOKUP($E23,'VOC Rural 110km'!$A$5:$P$29,13,0)</f>
        <v>0.93130500000000005</v>
      </c>
      <c r="R23" s="70">
        <f>+VLOOKUP($E23,'VOC Rural 110km'!$A$5:$P$29,15,0)+VLOOKUP($E23,'VOC Rural 110km'!$A$5:$P$29,16,0)</f>
        <v>1.1100449999999999</v>
      </c>
      <c r="S23" s="115">
        <f t="shared" si="1"/>
        <v>3260777.2214869615</v>
      </c>
      <c r="T23" s="104">
        <f t="shared" si="5"/>
        <v>3276755.4033941622</v>
      </c>
    </row>
    <row r="24" spans="2:20">
      <c r="B24" s="46">
        <v>2037</v>
      </c>
      <c r="C24" s="105">
        <f t="shared" si="2"/>
        <v>412748.42930907337</v>
      </c>
      <c r="D24" s="47">
        <v>2.2000000000000002</v>
      </c>
      <c r="E24" s="47">
        <f t="shared" si="0"/>
        <v>2.2000000000000002</v>
      </c>
      <c r="F24" s="105">
        <f>+'Costos de Conservación'!J9</f>
        <v>199757.72719488418</v>
      </c>
      <c r="G24" s="105">
        <f>+IF(F24="",'Costos de Conservación'!$G$40,'Costos de Conservación'!$G$40*0.4)</f>
        <v>3236.0874748760543</v>
      </c>
      <c r="H24" s="106">
        <f t="shared" si="4"/>
        <v>5992.731815846525</v>
      </c>
      <c r="I24" s="63">
        <f>+TPDA!C24</f>
        <v>9079.1345202621978</v>
      </c>
      <c r="J24" s="64">
        <f>+TPDA!D24</f>
        <v>71.424227134019901</v>
      </c>
      <c r="K24" s="64">
        <f>+TPDA!E24</f>
        <v>531.98521197641207</v>
      </c>
      <c r="L24" s="64">
        <f>+TPDA!F24</f>
        <v>506.15705184871013</v>
      </c>
      <c r="M24" s="65">
        <f>+TPDA!G24</f>
        <v>957.52716361596708</v>
      </c>
      <c r="N24" s="59">
        <f>+VLOOKUP($E24,'VOC Rural 110km'!$A$5:$P$29,3,0)+VLOOKUP($E24,'VOC Rural 110km'!$A$5:$P$29,4,0)</f>
        <v>0.32715</v>
      </c>
      <c r="O24" s="69">
        <f>+VLOOKUP($E24,'VOC Rural 110km'!$A$5:$P$29,6,0)+VLOOKUP($E24,'VOC Rural 110km'!$A$5:$P$29,7,0)</f>
        <v>1.31589</v>
      </c>
      <c r="P24" s="69">
        <f>+VLOOKUP($E24,'VOC Rural 110km'!$A$5:$P$29,9,0)+VLOOKUP($E24,'VOC Rural 110km'!$A$5:$P$29,10,0)</f>
        <v>0.54652000000000001</v>
      </c>
      <c r="Q24" s="69">
        <f>+VLOOKUP($E24,'VOC Rural 110km'!$A$5:$P$29,12,0)+VLOOKUP($E24,'VOC Rural 110km'!$A$5:$P$29,13,0)</f>
        <v>0.92266000000000004</v>
      </c>
      <c r="R24" s="70">
        <f>+VLOOKUP($E24,'VOC Rural 110km'!$A$5:$P$29,15,0)+VLOOKUP($E24,'VOC Rural 110km'!$A$5:$P$29,16,0)</f>
        <v>1.0993599999999999</v>
      </c>
      <c r="S24" s="115">
        <f t="shared" si="1"/>
        <v>3514008.8281659433</v>
      </c>
      <c r="T24" s="104">
        <f t="shared" si="5"/>
        <v>3926757.2574750166</v>
      </c>
    </row>
    <row r="25" spans="2:20">
      <c r="B25" s="6">
        <v>2038</v>
      </c>
      <c r="C25" s="89">
        <f t="shared" si="2"/>
        <v>15978.181907200516</v>
      </c>
      <c r="D25" s="40">
        <f>+IF(D24&lt;$B$31,D24+$C$31,(IF(D24&lt;$B$32,D24+$C$32,(IF(D24&lt;$B$33,D24+$C$33,D24+$C$34)))))</f>
        <v>2.35</v>
      </c>
      <c r="E25" s="40">
        <f t="shared" si="0"/>
        <v>2.4</v>
      </c>
      <c r="F25" s="89"/>
      <c r="G25" s="89">
        <f>+IF(F25="",'Costos de Conservación'!$G$40,'Costos de Conservación'!$G$40*0.4)</f>
        <v>8090.2186871901349</v>
      </c>
      <c r="H25" s="104" t="str">
        <f t="shared" si="4"/>
        <v/>
      </c>
      <c r="I25" s="63">
        <f>+TPDA!C25</f>
        <v>9874.5484164478494</v>
      </c>
      <c r="J25" s="64">
        <f>+TPDA!D25</f>
        <v>72.228178234640424</v>
      </c>
      <c r="K25" s="64">
        <f>+TPDA!E25</f>
        <v>549.65563277742046</v>
      </c>
      <c r="L25" s="64">
        <f>+TPDA!F25</f>
        <v>566.11084848313794</v>
      </c>
      <c r="M25" s="65">
        <f>+TPDA!G25</f>
        <v>1033.0013697065049</v>
      </c>
      <c r="N25" s="59">
        <f>+VLOOKUP($E25,'VOC Rural 110km'!$A$5:$P$29,3,0)+VLOOKUP($E25,'VOC Rural 110km'!$A$5:$P$29,4,0)</f>
        <v>0.32733999999999996</v>
      </c>
      <c r="O25" s="69">
        <f>+VLOOKUP($E25,'VOC Rural 110km'!$A$5:$P$29,6,0)+VLOOKUP($E25,'VOC Rural 110km'!$A$5:$P$29,7,0)</f>
        <v>1.31714</v>
      </c>
      <c r="P25" s="69">
        <f>+VLOOKUP($E25,'VOC Rural 110km'!$A$5:$P$29,9,0)+VLOOKUP($E25,'VOC Rural 110km'!$A$5:$P$29,10,0)</f>
        <v>0.54720999999999997</v>
      </c>
      <c r="Q25" s="69">
        <f>+VLOOKUP($E25,'VOC Rural 110km'!$A$5:$P$29,12,0)+VLOOKUP($E25,'VOC Rural 110km'!$A$5:$P$29,13,0)</f>
        <v>0.9243300000000001</v>
      </c>
      <c r="R25" s="70">
        <f>+VLOOKUP($E25,'VOC Rural 110km'!$A$5:$P$29,15,0)+VLOOKUP($E25,'VOC Rural 110km'!$A$5:$P$29,16,0)</f>
        <v>1.1014699999999999</v>
      </c>
      <c r="S25" s="115">
        <f t="shared" si="1"/>
        <v>3812952.6981358309</v>
      </c>
      <c r="T25" s="104">
        <f t="shared" si="5"/>
        <v>3828930.8800430316</v>
      </c>
    </row>
    <row r="26" spans="2:20" ht="15" thickBot="1">
      <c r="B26" s="8">
        <v>2039</v>
      </c>
      <c r="C26" s="91">
        <f t="shared" si="2"/>
        <v>15978.181907200516</v>
      </c>
      <c r="D26" s="41">
        <f>+IF(D25&lt;$B$31,D25+$C$31,(IF(D25&lt;$B$32,D25+$C$32,(IF(D25&lt;$B$33,D25+$C$33,D25+$C$34)))))</f>
        <v>2.5</v>
      </c>
      <c r="E26" s="41">
        <f t="shared" si="0"/>
        <v>2.5</v>
      </c>
      <c r="F26" s="91"/>
      <c r="G26" s="91">
        <f>+IF(F26="",'Costos de Conservación'!$G$40,'Costos de Conservación'!$G$40*0.4)</f>
        <v>8090.2186871901349</v>
      </c>
      <c r="H26" s="93" t="str">
        <f t="shared" si="4"/>
        <v/>
      </c>
      <c r="I26" s="66">
        <f>+TPDA!C26</f>
        <v>10739.647728664429</v>
      </c>
      <c r="J26" s="67">
        <f>+TPDA!D26</f>
        <v>73.041178608849535</v>
      </c>
      <c r="K26" s="67">
        <f>+TPDA!E26</f>
        <v>567.9129942757553</v>
      </c>
      <c r="L26" s="67">
        <f>+TPDA!F26</f>
        <v>633.16611237511722</v>
      </c>
      <c r="M26" s="68">
        <f>+TPDA!G26</f>
        <v>1114.4246036695108</v>
      </c>
      <c r="N26" s="60">
        <f>+VLOOKUP($E26,'VOC Rural 110km'!$A$5:$P$29,3,0)+VLOOKUP($E26,'VOC Rural 110km'!$A$5:$P$29,4,0)</f>
        <v>0.327455</v>
      </c>
      <c r="O26" s="71">
        <f>+VLOOKUP($E26,'VOC Rural 110km'!$A$5:$P$29,6,0)+VLOOKUP($E26,'VOC Rural 110km'!$A$5:$P$29,7,0)</f>
        <v>1.3180099999999999</v>
      </c>
      <c r="P26" s="71">
        <f>+VLOOKUP($E26,'VOC Rural 110km'!$A$5:$P$29,9,0)+VLOOKUP($E26,'VOC Rural 110km'!$A$5:$P$29,10,0)</f>
        <v>0.54764000000000002</v>
      </c>
      <c r="Q26" s="71">
        <f>+VLOOKUP($E26,'VOC Rural 110km'!$A$5:$P$29,12,0)+VLOOKUP($E26,'VOC Rural 110km'!$A$5:$P$29,13,0)</f>
        <v>0.92532999999999999</v>
      </c>
      <c r="R26" s="72">
        <f>+VLOOKUP($E26,'VOC Rural 110km'!$A$5:$P$29,15,0)+VLOOKUP($E26,'VOC Rural 110km'!$A$5:$P$29,16,0)</f>
        <v>1.1027199999999999</v>
      </c>
      <c r="S26" s="116">
        <f t="shared" si="1"/>
        <v>4136970.5127709638</v>
      </c>
      <c r="T26" s="93">
        <f t="shared" si="5"/>
        <v>4152948.6946781646</v>
      </c>
    </row>
    <row r="28" spans="2:20" ht="15" thickBot="1"/>
    <row r="29" spans="2:20" ht="15" thickBot="1">
      <c r="B29" s="269" t="s">
        <v>73</v>
      </c>
      <c r="C29" s="270"/>
      <c r="E29" s="281" t="s">
        <v>108</v>
      </c>
      <c r="F29" s="282"/>
      <c r="G29" s="282"/>
      <c r="H29" s="282"/>
      <c r="I29" s="282"/>
      <c r="J29" s="283"/>
    </row>
    <row r="30" spans="2:20" ht="15" thickBot="1">
      <c r="B30" s="35" t="s">
        <v>74</v>
      </c>
      <c r="C30" s="80" t="s">
        <v>75</v>
      </c>
      <c r="E30" s="278" t="s">
        <v>109</v>
      </c>
      <c r="F30" s="279"/>
      <c r="G30" s="279" t="s">
        <v>110</v>
      </c>
      <c r="H30" s="279"/>
      <c r="I30" s="279" t="s">
        <v>111</v>
      </c>
      <c r="J30" s="280"/>
    </row>
    <row r="31" spans="2:20">
      <c r="B31" s="37">
        <v>3</v>
      </c>
      <c r="C31" s="81">
        <v>0.15</v>
      </c>
      <c r="E31" s="117" t="s">
        <v>57</v>
      </c>
      <c r="F31" s="118" t="s">
        <v>112</v>
      </c>
      <c r="G31" s="118" t="s">
        <v>57</v>
      </c>
      <c r="H31" s="118" t="s">
        <v>112</v>
      </c>
      <c r="I31" s="118" t="s">
        <v>57</v>
      </c>
      <c r="J31" s="119" t="s">
        <v>108</v>
      </c>
    </row>
    <row r="32" spans="2:20" ht="15" thickBot="1">
      <c r="B32" s="39" t="s">
        <v>76</v>
      </c>
      <c r="C32" s="82">
        <v>0.25</v>
      </c>
      <c r="E32" s="90">
        <v>1.6</v>
      </c>
      <c r="F32" s="91">
        <f>+C6</f>
        <v>2457562.2924709879</v>
      </c>
      <c r="G32" s="92">
        <v>10</v>
      </c>
      <c r="H32" s="91">
        <v>0</v>
      </c>
      <c r="I32" s="92">
        <v>2.5</v>
      </c>
      <c r="J32" s="93">
        <f>+(F32-H32)/(G32-E32)*(G32-I32)+H32</f>
        <v>2194252.0468490962</v>
      </c>
    </row>
    <row r="33" spans="2:3">
      <c r="B33" s="39" t="s">
        <v>77</v>
      </c>
      <c r="C33" s="82">
        <v>0.4</v>
      </c>
    </row>
    <row r="34" spans="2:3" ht="15" thickBot="1">
      <c r="B34" s="42" t="s">
        <v>78</v>
      </c>
      <c r="C34" s="83">
        <v>0.6</v>
      </c>
    </row>
    <row r="35" spans="2:3" ht="15" thickBot="1"/>
    <row r="36" spans="2:3" ht="15" thickBot="1">
      <c r="B36" s="73" t="s">
        <v>79</v>
      </c>
      <c r="C36" s="120">
        <f>+AVERAGE(D7:D26)</f>
        <v>2.3475000000000001</v>
      </c>
    </row>
    <row r="37" spans="2:3" ht="15" thickBot="1"/>
    <row r="38" spans="2:3" ht="15" thickBot="1">
      <c r="B38" s="73" t="s">
        <v>94</v>
      </c>
      <c r="C38" s="84">
        <v>1.9750000000000001</v>
      </c>
    </row>
  </sheetData>
  <mergeCells count="10">
    <mergeCell ref="B2:T2"/>
    <mergeCell ref="B4:H4"/>
    <mergeCell ref="I4:M4"/>
    <mergeCell ref="N4:R4"/>
    <mergeCell ref="E29:J29"/>
    <mergeCell ref="E30:F30"/>
    <mergeCell ref="G30:H30"/>
    <mergeCell ref="I30:J30"/>
    <mergeCell ref="B29:C29"/>
    <mergeCell ref="S4:T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opLeftCell="A15" workbookViewId="0">
      <selection activeCell="G37" sqref="G37"/>
    </sheetView>
  </sheetViews>
  <sheetFormatPr baseColWidth="10" defaultColWidth="9.109375" defaultRowHeight="14.4"/>
  <cols>
    <col min="3" max="3" width="13.33203125" bestFit="1" customWidth="1"/>
    <col min="5" max="5" width="4.5546875" bestFit="1" customWidth="1"/>
    <col min="6" max="6" width="14.33203125" bestFit="1" customWidth="1"/>
    <col min="7" max="7" width="10.6640625" bestFit="1" customWidth="1"/>
    <col min="8" max="8" width="14.33203125" bestFit="1" customWidth="1"/>
    <col min="10" max="10" width="13.33203125" bestFit="1" customWidth="1"/>
    <col min="11" max="11" width="9.5546875" customWidth="1"/>
    <col min="12" max="12" width="9.44140625" customWidth="1"/>
    <col min="13" max="13" width="10.6640625" customWidth="1"/>
    <col min="16" max="16" width="10.33203125" customWidth="1"/>
    <col min="17" max="17" width="10" customWidth="1"/>
    <col min="18" max="18" width="11.109375" customWidth="1"/>
    <col min="19" max="20" width="13.33203125" bestFit="1" customWidth="1"/>
  </cols>
  <sheetData>
    <row r="2" spans="2:20" ht="18">
      <c r="B2" s="271" t="s">
        <v>71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2:20" ht="15" thickBot="1"/>
    <row r="4" spans="2:20">
      <c r="B4" s="272" t="s">
        <v>69</v>
      </c>
      <c r="C4" s="273"/>
      <c r="D4" s="273"/>
      <c r="E4" s="273"/>
      <c r="F4" s="273"/>
      <c r="G4" s="273"/>
      <c r="H4" s="274"/>
      <c r="I4" s="275" t="s">
        <v>52</v>
      </c>
      <c r="J4" s="276"/>
      <c r="K4" s="276"/>
      <c r="L4" s="276"/>
      <c r="M4" s="277"/>
      <c r="N4" s="275" t="s">
        <v>53</v>
      </c>
      <c r="O4" s="276"/>
      <c r="P4" s="276"/>
      <c r="Q4" s="276"/>
      <c r="R4" s="277"/>
      <c r="S4" s="275" t="s">
        <v>54</v>
      </c>
      <c r="T4" s="277"/>
    </row>
    <row r="5" spans="2:20" ht="28.95" customHeight="1">
      <c r="B5" s="96" t="s">
        <v>55</v>
      </c>
      <c r="C5" s="97" t="s">
        <v>56</v>
      </c>
      <c r="D5" s="97" t="s">
        <v>57</v>
      </c>
      <c r="E5" s="98" t="s">
        <v>57</v>
      </c>
      <c r="F5" s="98" t="s">
        <v>58</v>
      </c>
      <c r="G5" s="98" t="s">
        <v>62</v>
      </c>
      <c r="H5" s="100" t="s">
        <v>59</v>
      </c>
      <c r="I5" s="99" t="s">
        <v>63</v>
      </c>
      <c r="J5" s="98" t="s">
        <v>64</v>
      </c>
      <c r="K5" s="98" t="s">
        <v>65</v>
      </c>
      <c r="L5" s="98" t="s">
        <v>66</v>
      </c>
      <c r="M5" s="100" t="s">
        <v>67</v>
      </c>
      <c r="N5" s="99" t="s">
        <v>63</v>
      </c>
      <c r="O5" s="98" t="s">
        <v>64</v>
      </c>
      <c r="P5" s="98" t="s">
        <v>65</v>
      </c>
      <c r="Q5" s="98" t="s">
        <v>66</v>
      </c>
      <c r="R5" s="100" t="s">
        <v>67</v>
      </c>
      <c r="S5" s="96" t="s">
        <v>60</v>
      </c>
      <c r="T5" s="100" t="s">
        <v>68</v>
      </c>
    </row>
    <row r="6" spans="2:20" s="88" customFormat="1">
      <c r="B6" s="76">
        <v>2019</v>
      </c>
      <c r="C6" s="105">
        <f>+SUM(F6:H6)</f>
        <v>2567416.8460774082</v>
      </c>
      <c r="D6" s="107"/>
      <c r="E6" s="108"/>
      <c r="F6" s="105">
        <v>2492637.7146382602</v>
      </c>
      <c r="G6" s="105"/>
      <c r="H6" s="105">
        <f t="shared" ref="H6:H7" si="0">+IF(F6="","",F6*0.03)</f>
        <v>74779.131439147808</v>
      </c>
      <c r="I6" s="87"/>
      <c r="J6" s="85"/>
      <c r="K6" s="85"/>
      <c r="L6" s="85"/>
      <c r="M6" s="86"/>
      <c r="N6" s="87"/>
      <c r="O6" s="85"/>
      <c r="P6" s="85"/>
      <c r="Q6" s="85"/>
      <c r="R6" s="86"/>
      <c r="S6" s="115"/>
      <c r="T6" s="104">
        <f>S6+C6</f>
        <v>2567416.8460774082</v>
      </c>
    </row>
    <row r="7" spans="2:20">
      <c r="B7" s="6">
        <v>2020</v>
      </c>
      <c r="C7" s="89">
        <f>+SUM(F7:H7)*$C$38</f>
        <v>22550.04250534689</v>
      </c>
      <c r="D7" s="2">
        <v>2.2999999999999998</v>
      </c>
      <c r="E7" s="40">
        <f t="shared" ref="E7:E26" si="1">+ROUND(D7,1)</f>
        <v>2.2999999999999998</v>
      </c>
      <c r="F7" s="89"/>
      <c r="G7" s="89">
        <f>+IF(F7="",'Costos de Conservación'!$G$42,'Costos de Conservación'!$G$42*0.4)</f>
        <v>11417.743040681969</v>
      </c>
      <c r="H7" s="89" t="str">
        <f t="shared" si="0"/>
        <v/>
      </c>
      <c r="I7" s="63">
        <f>+TPDA!C7</f>
        <v>2160.3118667471554</v>
      </c>
      <c r="J7" s="64">
        <f>+TPDA!D7</f>
        <v>58.98253101137405</v>
      </c>
      <c r="K7" s="64">
        <f>+TPDA!E7</f>
        <v>304.26748111027547</v>
      </c>
      <c r="L7" s="64">
        <f>+TPDA!F7</f>
        <v>74.683425325534984</v>
      </c>
      <c r="M7" s="65">
        <f>+TPDA!G7</f>
        <v>261.72061654186319</v>
      </c>
      <c r="N7" s="59">
        <f>+VLOOKUP($E7,'VOC Rural 110km'!$A$5:$P$29,3,0)+VLOOKUP($E7,'VOC Rural 110km'!$A$5:$P$29,4,0)</f>
        <v>0.32724500000000001</v>
      </c>
      <c r="O7" s="69">
        <f>+VLOOKUP($E7,'VOC Rural 110km'!$A$5:$P$29,6,0)+VLOOKUP($E7,'VOC Rural 110km'!$A$5:$P$29,7,0)</f>
        <v>1.3165149999999999</v>
      </c>
      <c r="P7" s="69">
        <f>+VLOOKUP($E7,'VOC Rural 110km'!$A$5:$P$29,9,0)+VLOOKUP($E7,'VOC Rural 110km'!$A$5:$P$29,10,0)</f>
        <v>0.54686500000000005</v>
      </c>
      <c r="Q7" s="69">
        <f>+VLOOKUP($E7,'VOC Rural 110km'!$A$5:$P$29,12,0)+VLOOKUP($E7,'VOC Rural 110km'!$A$5:$P$29,13,0)</f>
        <v>0.92349500000000007</v>
      </c>
      <c r="R7" s="70">
        <f>+VLOOKUP($E7,'VOC Rural 110km'!$A$5:$P$29,15,0)+VLOOKUP($E7,'VOC Rural 110km'!$A$5:$P$29,16,0)</f>
        <v>1.1004149999999999</v>
      </c>
      <c r="S7" s="115">
        <f t="shared" ref="S7:S26" si="2">SUMPRODUCT(I7:M7,N7:R7)*365*$C$38</f>
        <v>942880.66919054941</v>
      </c>
      <c r="T7" s="104">
        <f>S7+C7</f>
        <v>965430.71169589635</v>
      </c>
    </row>
    <row r="8" spans="2:20">
      <c r="B8" s="6">
        <v>2021</v>
      </c>
      <c r="C8" s="89">
        <f t="shared" ref="C8:C26" si="3">+SUM(F8:H8)*$C$38</f>
        <v>22550.04250534689</v>
      </c>
      <c r="D8" s="40">
        <f>+IF(D7&lt;$B$31,D7+$C$31,(IF(D7&lt;$B$32,D7+$C$32,(IF(D7&lt;$B$33,D7+$C$33,D7+$C$34)))))</f>
        <v>2.4499999999999997</v>
      </c>
      <c r="E8" s="40">
        <f t="shared" si="1"/>
        <v>2.5</v>
      </c>
      <c r="F8" s="89"/>
      <c r="G8" s="89">
        <f>+IF(F8="",'Costos de Conservación'!$G$42,'Costos de Conservación'!$G$42*0.4)</f>
        <v>11417.743040681969</v>
      </c>
      <c r="H8" s="89" t="str">
        <f t="shared" ref="H8:H26" si="4">+IF(F8="","",F8*0.03)</f>
        <v/>
      </c>
      <c r="I8" s="63">
        <f>+TPDA!C8</f>
        <v>2362.1921465699306</v>
      </c>
      <c r="J8" s="64">
        <f>+TPDA!D8</f>
        <v>59.69069887170901</v>
      </c>
      <c r="K8" s="64">
        <f>+TPDA!E8</f>
        <v>315.04779967300499</v>
      </c>
      <c r="L8" s="64">
        <f>+TPDA!F8</f>
        <v>84.119347508344902</v>
      </c>
      <c r="M8" s="65">
        <f>+TPDA!G8</f>
        <v>283.72524847473017</v>
      </c>
      <c r="N8" s="59">
        <f>+VLOOKUP($E8,'VOC Rural 110km'!$A$5:$P$29,3,0)+VLOOKUP($E8,'VOC Rural 110km'!$A$5:$P$29,4,0)</f>
        <v>0.327455</v>
      </c>
      <c r="O8" s="69">
        <f>+VLOOKUP($E8,'VOC Rural 110km'!$A$5:$P$29,6,0)+VLOOKUP($E8,'VOC Rural 110km'!$A$5:$P$29,7,0)</f>
        <v>1.3180099999999999</v>
      </c>
      <c r="P8" s="69">
        <f>+VLOOKUP($E8,'VOC Rural 110km'!$A$5:$P$29,9,0)+VLOOKUP($E8,'VOC Rural 110km'!$A$5:$P$29,10,0)</f>
        <v>0.54764000000000002</v>
      </c>
      <c r="Q8" s="69">
        <f>+VLOOKUP($E8,'VOC Rural 110km'!$A$5:$P$29,12,0)+VLOOKUP($E8,'VOC Rural 110km'!$A$5:$P$29,13,0)</f>
        <v>0.92532999999999999</v>
      </c>
      <c r="R8" s="70">
        <f>+VLOOKUP($E8,'VOC Rural 110km'!$A$5:$P$29,15,0)+VLOOKUP($E8,'VOC Rural 110km'!$A$5:$P$29,16,0)</f>
        <v>1.1027199999999999</v>
      </c>
      <c r="S8" s="115">
        <f t="shared" si="2"/>
        <v>1020344.5013558388</v>
      </c>
      <c r="T8" s="104">
        <f t="shared" ref="T8:T26" si="5">S8+C8</f>
        <v>1042894.5438611858</v>
      </c>
    </row>
    <row r="9" spans="2:20">
      <c r="B9" s="6">
        <v>2022</v>
      </c>
      <c r="C9" s="89">
        <f t="shared" si="3"/>
        <v>22550.04250534689</v>
      </c>
      <c r="D9" s="40">
        <f t="shared" ref="D9:D26" si="6">+IF(D8&lt;$B$31,D8+$C$31,(IF(D8&lt;$B$32,D8+$C$32,(IF(D8&lt;$B$33,D8+$C$33,D8+$C$34)))))</f>
        <v>2.5999999999999996</v>
      </c>
      <c r="E9" s="40">
        <f t="shared" si="1"/>
        <v>2.6</v>
      </c>
      <c r="F9" s="89"/>
      <c r="G9" s="89">
        <f>+IF(F9="",'Costos de Conservación'!$G$42,'Costos de Conservación'!$G$42*0.4)</f>
        <v>11417.743040681969</v>
      </c>
      <c r="H9" s="89" t="str">
        <f t="shared" si="4"/>
        <v/>
      </c>
      <c r="I9" s="63">
        <f>+TPDA!C9</f>
        <v>2576.0397480644042</v>
      </c>
      <c r="J9" s="64">
        <f>+TPDA!D9</f>
        <v>60.384973328425637</v>
      </c>
      <c r="K9" s="64">
        <f>+TPDA!E9</f>
        <v>325.86124831074147</v>
      </c>
      <c r="L9" s="64">
        <f>+TPDA!F9</f>
        <v>94.415328521128046</v>
      </c>
      <c r="M9" s="65">
        <f>+TPDA!G9</f>
        <v>306.83449972784786</v>
      </c>
      <c r="N9" s="59">
        <f>+VLOOKUP($E9,'VOC Rural 110km'!$A$5:$P$29,3,0)+VLOOKUP($E9,'VOC Rural 110km'!$A$5:$P$29,4,0)</f>
        <v>0.32757000000000003</v>
      </c>
      <c r="O9" s="69">
        <f>+VLOOKUP($E9,'VOC Rural 110km'!$A$5:$P$29,6,0)+VLOOKUP($E9,'VOC Rural 110km'!$A$5:$P$29,7,0)</f>
        <v>1.3188800000000001</v>
      </c>
      <c r="P9" s="69">
        <f>+VLOOKUP($E9,'VOC Rural 110km'!$A$5:$P$29,9,0)+VLOOKUP($E9,'VOC Rural 110km'!$A$5:$P$29,10,0)</f>
        <v>0.54806999999999995</v>
      </c>
      <c r="Q9" s="69">
        <f>+VLOOKUP($E9,'VOC Rural 110km'!$A$5:$P$29,12,0)+VLOOKUP($E9,'VOC Rural 110km'!$A$5:$P$29,13,0)</f>
        <v>0.92632999999999999</v>
      </c>
      <c r="R9" s="70">
        <f>+VLOOKUP($E9,'VOC Rural 110km'!$A$5:$P$29,15,0)+VLOOKUP($E9,'VOC Rural 110km'!$A$5:$P$29,16,0)</f>
        <v>1.1039699999999999</v>
      </c>
      <c r="S9" s="115">
        <f t="shared" si="2"/>
        <v>1101687.6586001925</v>
      </c>
      <c r="T9" s="104">
        <f t="shared" si="5"/>
        <v>1124237.7011055395</v>
      </c>
    </row>
    <row r="10" spans="2:20">
      <c r="B10" s="6">
        <v>2023</v>
      </c>
      <c r="C10" s="89">
        <f t="shared" si="3"/>
        <v>22550.04250534689</v>
      </c>
      <c r="D10" s="40">
        <f t="shared" si="6"/>
        <v>2.7499999999999996</v>
      </c>
      <c r="E10" s="40">
        <f t="shared" si="1"/>
        <v>2.8</v>
      </c>
      <c r="F10" s="89"/>
      <c r="G10" s="89">
        <f>+IF(F10="",'Costos de Conservación'!$G$42,'Costos de Conservación'!$G$42*0.4)</f>
        <v>11417.743040681969</v>
      </c>
      <c r="H10" s="89" t="str">
        <f t="shared" si="4"/>
        <v/>
      </c>
      <c r="I10" s="63">
        <f>+TPDA!C10</f>
        <v>2801.7240143525787</v>
      </c>
      <c r="J10" s="64">
        <f>+TPDA!D10</f>
        <v>61.064666588210386</v>
      </c>
      <c r="K10" s="64">
        <f>+TPDA!E10</f>
        <v>336.68505553463103</v>
      </c>
      <c r="L10" s="64">
        <f>+TPDA!F10</f>
        <v>105.59872976912716</v>
      </c>
      <c r="M10" s="65">
        <f>+TPDA!G10</f>
        <v>331.01980866539623</v>
      </c>
      <c r="N10" s="59">
        <f>+VLOOKUP($E10,'VOC Rural 110km'!$A$5:$P$29,3,0)+VLOOKUP($E10,'VOC Rural 110km'!$A$5:$P$29,4,0)</f>
        <v>0.32790999999999998</v>
      </c>
      <c r="O10" s="69">
        <f>+VLOOKUP($E10,'VOC Rural 110km'!$A$5:$P$29,6,0)+VLOOKUP($E10,'VOC Rural 110km'!$A$5:$P$29,7,0)</f>
        <v>1.32179</v>
      </c>
      <c r="P10" s="69">
        <f>+VLOOKUP($E10,'VOC Rural 110km'!$A$5:$P$29,9,0)+VLOOKUP($E10,'VOC Rural 110km'!$A$5:$P$29,10,0)</f>
        <v>0.54937000000000002</v>
      </c>
      <c r="Q10" s="69">
        <f>+VLOOKUP($E10,'VOC Rural 110km'!$A$5:$P$29,12,0)+VLOOKUP($E10,'VOC Rural 110km'!$A$5:$P$29,13,0)</f>
        <v>0.92908000000000002</v>
      </c>
      <c r="R10" s="70">
        <f>+VLOOKUP($E10,'VOC Rural 110km'!$A$5:$P$29,15,0)+VLOOKUP($E10,'VOC Rural 110km'!$A$5:$P$29,16,0)</f>
        <v>1.1073500000000001</v>
      </c>
      <c r="S10" s="115">
        <f t="shared" si="2"/>
        <v>1188764.0435473844</v>
      </c>
      <c r="T10" s="104">
        <f t="shared" si="5"/>
        <v>1211314.0860527314</v>
      </c>
    </row>
    <row r="11" spans="2:20">
      <c r="B11" s="6">
        <v>2024</v>
      </c>
      <c r="C11" s="89">
        <f t="shared" si="3"/>
        <v>22550.04250534689</v>
      </c>
      <c r="D11" s="40">
        <f t="shared" si="6"/>
        <v>2.8999999999999995</v>
      </c>
      <c r="E11" s="40">
        <f t="shared" si="1"/>
        <v>2.9</v>
      </c>
      <c r="F11" s="89"/>
      <c r="G11" s="89">
        <f>+IF(F11="",'Costos de Conservación'!$G$42,'Costos de Conservación'!$G$42*0.4)</f>
        <v>11417.743040681969</v>
      </c>
      <c r="H11" s="89" t="str">
        <f t="shared" si="4"/>
        <v/>
      </c>
      <c r="I11" s="63">
        <f>+TPDA!C11</f>
        <v>3047.180253525994</v>
      </c>
      <c r="J11" s="64">
        <f>+TPDA!D11</f>
        <v>61.752010475327282</v>
      </c>
      <c r="K11" s="64">
        <f>+TPDA!E11</f>
        <v>347.86838633926931</v>
      </c>
      <c r="L11" s="64">
        <f>+TPDA!F11</f>
        <v>118.10679371155049</v>
      </c>
      <c r="M11" s="65">
        <f>+TPDA!G11</f>
        <v>357.11145202402008</v>
      </c>
      <c r="N11" s="59">
        <f>+VLOOKUP($E11,'VOC Rural 110km'!$A$5:$P$29,3,0)+VLOOKUP($E11,'VOC Rural 110km'!$A$5:$P$29,4,0)</f>
        <v>0.32818999999999998</v>
      </c>
      <c r="O11" s="69">
        <f>+VLOOKUP($E11,'VOC Rural 110km'!$A$5:$P$29,6,0)+VLOOKUP($E11,'VOC Rural 110km'!$A$5:$P$29,7,0)</f>
        <v>1.32457</v>
      </c>
      <c r="P11" s="69">
        <f>+VLOOKUP($E11,'VOC Rural 110km'!$A$5:$P$29,9,0)+VLOOKUP($E11,'VOC Rural 110km'!$A$5:$P$29,10,0)</f>
        <v>0.55049500000000007</v>
      </c>
      <c r="Q11" s="69">
        <f>+VLOOKUP($E11,'VOC Rural 110km'!$A$5:$P$29,12,0)+VLOOKUP($E11,'VOC Rural 110km'!$A$5:$P$29,13,0)</f>
        <v>0.93130500000000005</v>
      </c>
      <c r="R11" s="70">
        <f>+VLOOKUP($E11,'VOC Rural 110km'!$A$5:$P$29,15,0)+VLOOKUP($E11,'VOC Rural 110km'!$A$5:$P$29,16,0)</f>
        <v>1.1100449999999999</v>
      </c>
      <c r="S11" s="115">
        <f t="shared" si="2"/>
        <v>1282978.7118533805</v>
      </c>
      <c r="T11" s="104">
        <f t="shared" si="5"/>
        <v>1305528.7543587275</v>
      </c>
    </row>
    <row r="12" spans="2:20">
      <c r="B12" s="6">
        <v>2025</v>
      </c>
      <c r="C12" s="89">
        <f t="shared" si="3"/>
        <v>22550.04250534689</v>
      </c>
      <c r="D12" s="40">
        <f t="shared" si="6"/>
        <v>3.0499999999999994</v>
      </c>
      <c r="E12" s="40">
        <f t="shared" si="1"/>
        <v>3.1</v>
      </c>
      <c r="F12" s="89"/>
      <c r="G12" s="89">
        <f>+IF(F12="",'Costos de Conservación'!$G$42,'Costos de Conservación'!$G$42*0.4)</f>
        <v>11417.743040681969</v>
      </c>
      <c r="H12" s="89" t="str">
        <f t="shared" si="4"/>
        <v/>
      </c>
      <c r="I12" s="63">
        <f>+TPDA!C12</f>
        <v>3314.1406683571527</v>
      </c>
      <c r="J12" s="64">
        <f>+TPDA!D12</f>
        <v>62.447091105237561</v>
      </c>
      <c r="K12" s="64">
        <f>+TPDA!E12</f>
        <v>359.42318265991452</v>
      </c>
      <c r="L12" s="64">
        <f>+TPDA!F12</f>
        <v>132.09642531988993</v>
      </c>
      <c r="M12" s="65">
        <f>+TPDA!G12</f>
        <v>385.25969089545737</v>
      </c>
      <c r="N12" s="59">
        <f>+VLOOKUP($E12,'VOC Rural 110km'!$A$5:$P$29,3,0)+VLOOKUP($E12,'VOC Rural 110km'!$A$5:$P$29,4,0)</f>
        <v>0.32896999999999998</v>
      </c>
      <c r="O12" s="69">
        <f>+VLOOKUP($E12,'VOC Rural 110km'!$A$5:$P$29,6,0)+VLOOKUP($E12,'VOC Rural 110km'!$A$5:$P$29,7,0)</f>
        <v>1.3327599999999999</v>
      </c>
      <c r="P12" s="69">
        <f>+VLOOKUP($E12,'VOC Rural 110km'!$A$5:$P$29,9,0)+VLOOKUP($E12,'VOC Rural 110km'!$A$5:$P$29,10,0)</f>
        <v>0.55372499999999991</v>
      </c>
      <c r="Q12" s="69">
        <f>+VLOOKUP($E12,'VOC Rural 110km'!$A$5:$P$29,12,0)+VLOOKUP($E12,'VOC Rural 110km'!$A$5:$P$29,13,0)</f>
        <v>0.93745999999999996</v>
      </c>
      <c r="R12" s="70">
        <f>+VLOOKUP($E12,'VOC Rural 110km'!$A$5:$P$29,15,0)+VLOOKUP($E12,'VOC Rural 110km'!$A$5:$P$29,16,0)</f>
        <v>1.1174300000000001</v>
      </c>
      <c r="S12" s="115">
        <f t="shared" si="2"/>
        <v>1389008.8342451544</v>
      </c>
      <c r="T12" s="104">
        <f t="shared" si="5"/>
        <v>1411558.8767505013</v>
      </c>
    </row>
    <row r="13" spans="2:20">
      <c r="B13" s="6">
        <v>2026</v>
      </c>
      <c r="C13" s="89">
        <f t="shared" si="3"/>
        <v>22550.04250534689</v>
      </c>
      <c r="D13" s="40">
        <f t="shared" si="6"/>
        <v>3.2999999999999994</v>
      </c>
      <c r="E13" s="40">
        <f t="shared" si="1"/>
        <v>3.3</v>
      </c>
      <c r="F13" s="89"/>
      <c r="G13" s="89">
        <f>+IF(F13="",'Costos de Conservación'!$G$42,'Costos de Conservación'!$G$42*0.4)</f>
        <v>11417.743040681969</v>
      </c>
      <c r="H13" s="89" t="str">
        <f t="shared" si="4"/>
        <v/>
      </c>
      <c r="I13" s="63">
        <f>+TPDA!C13</f>
        <v>3604.4892181712544</v>
      </c>
      <c r="J13" s="64">
        <f>+TPDA!D13</f>
        <v>63.149995562718111</v>
      </c>
      <c r="K13" s="64">
        <f>+TPDA!E13</f>
        <v>371.36178309514622</v>
      </c>
      <c r="L13" s="64">
        <f>+TPDA!F13</f>
        <v>147.74311480260559</v>
      </c>
      <c r="M13" s="65">
        <f>+TPDA!G13</f>
        <v>415.62663025121907</v>
      </c>
      <c r="N13" s="59">
        <f>+VLOOKUP($E13,'VOC Rural 110km'!$A$5:$P$29,3,0)+VLOOKUP($E13,'VOC Rural 110km'!$A$5:$P$29,4,0)</f>
        <v>0.33007500000000001</v>
      </c>
      <c r="O13" s="69">
        <f>+VLOOKUP($E13,'VOC Rural 110km'!$A$5:$P$29,6,0)+VLOOKUP($E13,'VOC Rural 110km'!$A$5:$P$29,7,0)</f>
        <v>1.3446750000000001</v>
      </c>
      <c r="P13" s="69">
        <f>+VLOOKUP($E13,'VOC Rural 110km'!$A$5:$P$29,9,0)+VLOOKUP($E13,'VOC Rural 110km'!$A$5:$P$29,10,0)</f>
        <v>0.55834000000000006</v>
      </c>
      <c r="Q13" s="69">
        <f>+VLOOKUP($E13,'VOC Rural 110km'!$A$5:$P$29,12,0)+VLOOKUP($E13,'VOC Rural 110km'!$A$5:$P$29,13,0)</f>
        <v>0.946025</v>
      </c>
      <c r="R13" s="70">
        <f>+VLOOKUP($E13,'VOC Rural 110km'!$A$5:$P$29,15,0)+VLOOKUP($E13,'VOC Rural 110km'!$A$5:$P$29,16,0)</f>
        <v>1.1276300000000001</v>
      </c>
      <c r="S13" s="115">
        <f t="shared" si="2"/>
        <v>1506957.3783109232</v>
      </c>
      <c r="T13" s="104">
        <f t="shared" si="5"/>
        <v>1529507.4208162702</v>
      </c>
    </row>
    <row r="14" spans="2:20">
      <c r="B14" s="6">
        <v>2027</v>
      </c>
      <c r="C14" s="89">
        <f t="shared" si="3"/>
        <v>22550.04250534689</v>
      </c>
      <c r="D14" s="40">
        <f t="shared" si="6"/>
        <v>3.5499999999999994</v>
      </c>
      <c r="E14" s="40">
        <f t="shared" si="1"/>
        <v>3.6</v>
      </c>
      <c r="F14" s="89"/>
      <c r="G14" s="89">
        <f>+IF(F14="",'Costos de Conservación'!$G$42,'Costos de Conservación'!$G$42*0.4)</f>
        <v>11417.743040681969</v>
      </c>
      <c r="H14" s="89" t="str">
        <f t="shared" si="4"/>
        <v/>
      </c>
      <c r="I14" s="63">
        <f>+TPDA!C14</f>
        <v>3920.2749140860201</v>
      </c>
      <c r="J14" s="64">
        <f>+TPDA!D14</f>
        <v>63.860811912772064</v>
      </c>
      <c r="K14" s="64">
        <f>+TPDA!E14</f>
        <v>383.6969360824346</v>
      </c>
      <c r="L14" s="64">
        <f>+TPDA!F14</f>
        <v>165.24313900785941</v>
      </c>
      <c r="M14" s="65">
        <f>+TPDA!G14</f>
        <v>448.38715250088063</v>
      </c>
      <c r="N14" s="59">
        <f>+VLOOKUP($E14,'VOC Rural 110km'!$A$5:$P$29,3,0)+VLOOKUP($E14,'VOC Rural 110km'!$A$5:$P$29,4,0)</f>
        <v>0.33190999999999998</v>
      </c>
      <c r="O14" s="69">
        <f>+VLOOKUP($E14,'VOC Rural 110km'!$A$5:$P$29,6,0)+VLOOKUP($E14,'VOC Rural 110km'!$A$5:$P$29,7,0)</f>
        <v>1.3641299999999998</v>
      </c>
      <c r="P14" s="69">
        <f>+VLOOKUP($E14,'VOC Rural 110km'!$A$5:$P$29,9,0)+VLOOKUP($E14,'VOC Rural 110km'!$A$5:$P$29,10,0)</f>
        <v>0.56585000000000008</v>
      </c>
      <c r="Q14" s="69">
        <f>+VLOOKUP($E14,'VOC Rural 110km'!$A$5:$P$29,12,0)+VLOOKUP($E14,'VOC Rural 110km'!$A$5:$P$29,13,0)</f>
        <v>0.95988999999999991</v>
      </c>
      <c r="R14" s="70">
        <f>+VLOOKUP($E14,'VOC Rural 110km'!$A$5:$P$29,15,0)+VLOOKUP($E14,'VOC Rural 110km'!$A$5:$P$29,16,0)</f>
        <v>1.1440800000000002</v>
      </c>
      <c r="S14" s="115">
        <f t="shared" si="2"/>
        <v>1641442.3356950474</v>
      </c>
      <c r="T14" s="104">
        <f t="shared" si="5"/>
        <v>1663992.3782003943</v>
      </c>
    </row>
    <row r="15" spans="2:20">
      <c r="B15" s="6">
        <v>2028</v>
      </c>
      <c r="C15" s="89">
        <f t="shared" si="3"/>
        <v>22550.04250534689</v>
      </c>
      <c r="D15" s="40">
        <f t="shared" si="6"/>
        <v>3.7999999999999994</v>
      </c>
      <c r="E15" s="40">
        <f t="shared" si="1"/>
        <v>3.8</v>
      </c>
      <c r="F15" s="89"/>
      <c r="G15" s="89">
        <f>+IF(F15="",'Costos de Conservación'!$G$42,'Costos de Conservación'!$G$42*0.4)</f>
        <v>11417.743040681969</v>
      </c>
      <c r="H15" s="89" t="str">
        <f t="shared" si="4"/>
        <v/>
      </c>
      <c r="I15" s="63">
        <f>+TPDA!C15</f>
        <v>4263.726279034182</v>
      </c>
      <c r="J15" s="64">
        <f>+TPDA!D15</f>
        <v>64.579629211662223</v>
      </c>
      <c r="K15" s="64">
        <f>+TPDA!E15</f>
        <v>396.4418135113487</v>
      </c>
      <c r="L15" s="64">
        <f>+TPDA!F15</f>
        <v>184.81602358020135</v>
      </c>
      <c r="M15" s="65">
        <f>+TPDA!G15</f>
        <v>483.729924635305</v>
      </c>
      <c r="N15" s="59">
        <f>+VLOOKUP($E15,'VOC Rural 110km'!$A$5:$P$29,3,0)+VLOOKUP($E15,'VOC Rural 110km'!$A$5:$P$29,4,0)</f>
        <v>0.33316000000000001</v>
      </c>
      <c r="O15" s="69">
        <f>+VLOOKUP($E15,'VOC Rural 110km'!$A$5:$P$29,6,0)+VLOOKUP($E15,'VOC Rural 110km'!$A$5:$P$29,7,0)</f>
        <v>1.37703</v>
      </c>
      <c r="P15" s="69">
        <f>+VLOOKUP($E15,'VOC Rural 110km'!$A$5:$P$29,9,0)+VLOOKUP($E15,'VOC Rural 110km'!$A$5:$P$29,10,0)</f>
        <v>0.57084999999999997</v>
      </c>
      <c r="Q15" s="69">
        <f>+VLOOKUP($E15,'VOC Rural 110km'!$A$5:$P$29,12,0)+VLOOKUP($E15,'VOC Rural 110km'!$A$5:$P$29,13,0)</f>
        <v>0.96902999999999995</v>
      </c>
      <c r="R15" s="70">
        <f>+VLOOKUP($E15,'VOC Rural 110km'!$A$5:$P$29,15,0)+VLOOKUP($E15,'VOC Rural 110km'!$A$5:$P$29,16,0)</f>
        <v>1.15493</v>
      </c>
      <c r="S15" s="115">
        <f t="shared" si="2"/>
        <v>1783088.9378994927</v>
      </c>
      <c r="T15" s="104">
        <f t="shared" si="5"/>
        <v>1805638.9804048396</v>
      </c>
    </row>
    <row r="16" spans="2:20">
      <c r="B16" s="46">
        <v>2029</v>
      </c>
      <c r="C16" s="105">
        <f t="shared" si="3"/>
        <v>235350.68980739036</v>
      </c>
      <c r="D16" s="47">
        <v>2</v>
      </c>
      <c r="E16" s="47">
        <f t="shared" si="1"/>
        <v>2</v>
      </c>
      <c r="F16" s="105">
        <f>+'Costos de Conservación'!J33</f>
        <v>111260.00875273522</v>
      </c>
      <c r="G16" s="105">
        <f>+IF(F16="",'Costos de Conservación'!$G$42,'Costos de Conservación'!$G$42*0.4)</f>
        <v>4567.0972162727876</v>
      </c>
      <c r="H16" s="105">
        <f t="shared" si="4"/>
        <v>3337.8002625820563</v>
      </c>
      <c r="I16" s="63">
        <f>+TPDA!C16</f>
        <v>4637.2670746140875</v>
      </c>
      <c r="J16" s="64">
        <f>+TPDA!D16</f>
        <v>65.30653751806868</v>
      </c>
      <c r="K16" s="64">
        <f>+TPDA!E16</f>
        <v>409.61002478894159</v>
      </c>
      <c r="L16" s="64">
        <f>+TPDA!F16</f>
        <v>206.70729675725264</v>
      </c>
      <c r="M16" s="65">
        <f>+TPDA!G16</f>
        <v>521.858484754909</v>
      </c>
      <c r="N16" s="59">
        <f>+VLOOKUP($E16,'VOC Rural 110km'!$A$5:$P$29,3,0)+VLOOKUP($E16,'VOC Rural 110km'!$A$5:$P$29,4,0)</f>
        <v>0.32699</v>
      </c>
      <c r="O16" s="69">
        <f>+VLOOKUP($E16,'VOC Rural 110km'!$A$5:$P$29,6,0)+VLOOKUP($E16,'VOC Rural 110km'!$A$5:$P$29,7,0)</f>
        <v>1.3148499999999999</v>
      </c>
      <c r="P16" s="69">
        <f>+VLOOKUP($E16,'VOC Rural 110km'!$A$5:$P$29,9,0)+VLOOKUP($E16,'VOC Rural 110km'!$A$5:$P$29,10,0)</f>
        <v>0.54591000000000001</v>
      </c>
      <c r="Q16" s="69">
        <f>+VLOOKUP($E16,'VOC Rural 110km'!$A$5:$P$29,12,0)+VLOOKUP($E16,'VOC Rural 110km'!$A$5:$P$29,13,0)</f>
        <v>0.92112000000000005</v>
      </c>
      <c r="R16" s="70">
        <f>+VLOOKUP($E16,'VOC Rural 110km'!$A$5:$P$29,15,0)+VLOOKUP($E16,'VOC Rural 110km'!$A$5:$P$29,16,0)</f>
        <v>1.0973900000000001</v>
      </c>
      <c r="S16" s="115">
        <f t="shared" si="2"/>
        <v>1866275.4342588689</v>
      </c>
      <c r="T16" s="104">
        <f t="shared" si="5"/>
        <v>2101626.1240662592</v>
      </c>
    </row>
    <row r="17" spans="2:20">
      <c r="B17" s="6">
        <v>2030</v>
      </c>
      <c r="C17" s="89">
        <f t="shared" si="3"/>
        <v>22550.04250534689</v>
      </c>
      <c r="D17" s="40">
        <f t="shared" si="6"/>
        <v>2.15</v>
      </c>
      <c r="E17" s="40">
        <f t="shared" si="1"/>
        <v>2.2000000000000002</v>
      </c>
      <c r="F17" s="89"/>
      <c r="G17" s="89">
        <f>+IF(F17="",'Costos de Conservación'!$G$42,'Costos de Conservación'!$G$42*0.4)</f>
        <v>11417.743040681969</v>
      </c>
      <c r="H17" s="89" t="str">
        <f t="shared" si="4"/>
        <v/>
      </c>
      <c r="I17" s="63">
        <f>+TPDA!C17</f>
        <v>5043.533405753954</v>
      </c>
      <c r="J17" s="64">
        <f>+TPDA!D17</f>
        <v>66.041627904372049</v>
      </c>
      <c r="K17" s="64">
        <f>+TPDA!E17</f>
        <v>423.21563137233102</v>
      </c>
      <c r="L17" s="64">
        <f>+TPDA!F17</f>
        <v>231.19156935085249</v>
      </c>
      <c r="M17" s="65">
        <f>+TPDA!G17</f>
        <v>562.99241424026036</v>
      </c>
      <c r="N17" s="59">
        <f>+VLOOKUP($E17,'VOC Rural 110km'!$A$5:$P$29,3,0)+VLOOKUP($E17,'VOC Rural 110km'!$A$5:$P$29,4,0)</f>
        <v>0.32715</v>
      </c>
      <c r="O17" s="69">
        <f>+VLOOKUP($E17,'VOC Rural 110km'!$A$5:$P$29,6,0)+VLOOKUP($E17,'VOC Rural 110km'!$A$5:$P$29,7,0)</f>
        <v>1.31589</v>
      </c>
      <c r="P17" s="69">
        <f>+VLOOKUP($E17,'VOC Rural 110km'!$A$5:$P$29,9,0)+VLOOKUP($E17,'VOC Rural 110km'!$A$5:$P$29,10,0)</f>
        <v>0.54652000000000001</v>
      </c>
      <c r="Q17" s="69">
        <f>+VLOOKUP($E17,'VOC Rural 110km'!$A$5:$P$29,12,0)+VLOOKUP($E17,'VOC Rural 110km'!$A$5:$P$29,13,0)</f>
        <v>0.92266000000000004</v>
      </c>
      <c r="R17" s="70">
        <f>+VLOOKUP($E17,'VOC Rural 110km'!$A$5:$P$29,15,0)+VLOOKUP($E17,'VOC Rural 110km'!$A$5:$P$29,16,0)</f>
        <v>1.0993599999999999</v>
      </c>
      <c r="S17" s="115">
        <f t="shared" si="2"/>
        <v>2018762.7387796249</v>
      </c>
      <c r="T17" s="104">
        <f t="shared" si="5"/>
        <v>2041312.7812849719</v>
      </c>
    </row>
    <row r="18" spans="2:20">
      <c r="B18" s="6">
        <v>2031</v>
      </c>
      <c r="C18" s="89">
        <f t="shared" si="3"/>
        <v>22550.04250534689</v>
      </c>
      <c r="D18" s="40">
        <f t="shared" si="6"/>
        <v>2.2999999999999998</v>
      </c>
      <c r="E18" s="40">
        <f t="shared" si="1"/>
        <v>2.2999999999999998</v>
      </c>
      <c r="F18" s="89"/>
      <c r="G18" s="89">
        <f>+IF(F18="",'Costos de Conservación'!$G$42,'Costos de Conservación'!$G$42*0.4)</f>
        <v>11417.743040681969</v>
      </c>
      <c r="H18" s="89" t="str">
        <f t="shared" si="4"/>
        <v/>
      </c>
      <c r="I18" s="63">
        <f>+TPDA!C18</f>
        <v>5485.3923238986526</v>
      </c>
      <c r="J18" s="64">
        <f>+TPDA!D18</f>
        <v>66.784992468063663</v>
      </c>
      <c r="K18" s="64">
        <f>+TPDA!E18</f>
        <v>437.27316178399434</v>
      </c>
      <c r="L18" s="64">
        <f>+TPDA!F18</f>
        <v>258.57597954889161</v>
      </c>
      <c r="M18" s="65">
        <f>+TPDA!G18</f>
        <v>607.36860231550611</v>
      </c>
      <c r="N18" s="59">
        <f>+VLOOKUP($E18,'VOC Rural 110km'!$A$5:$P$29,3,0)+VLOOKUP($E18,'VOC Rural 110km'!$A$5:$P$29,4,0)</f>
        <v>0.32724500000000001</v>
      </c>
      <c r="O18" s="69">
        <f>+VLOOKUP($E18,'VOC Rural 110km'!$A$5:$P$29,6,0)+VLOOKUP($E18,'VOC Rural 110km'!$A$5:$P$29,7,0)</f>
        <v>1.3165149999999999</v>
      </c>
      <c r="P18" s="69">
        <f>+VLOOKUP($E18,'VOC Rural 110km'!$A$5:$P$29,9,0)+VLOOKUP($E18,'VOC Rural 110km'!$A$5:$P$29,10,0)</f>
        <v>0.54686500000000005</v>
      </c>
      <c r="Q18" s="69">
        <f>+VLOOKUP($E18,'VOC Rural 110km'!$A$5:$P$29,12,0)+VLOOKUP($E18,'VOC Rural 110km'!$A$5:$P$29,13,0)</f>
        <v>0.92349500000000007</v>
      </c>
      <c r="R18" s="70">
        <f>+VLOOKUP($E18,'VOC Rural 110km'!$A$5:$P$29,15,0)+VLOOKUP($E18,'VOC Rural 110km'!$A$5:$P$29,16,0)</f>
        <v>1.1004149999999999</v>
      </c>
      <c r="S18" s="115">
        <f t="shared" si="2"/>
        <v>2183725.8674785323</v>
      </c>
      <c r="T18" s="104">
        <f t="shared" si="5"/>
        <v>2206275.909983879</v>
      </c>
    </row>
    <row r="19" spans="2:20">
      <c r="B19" s="6">
        <v>2032</v>
      </c>
      <c r="C19" s="89">
        <f t="shared" si="3"/>
        <v>22550.04250534689</v>
      </c>
      <c r="D19" s="40">
        <f t="shared" si="6"/>
        <v>2.4499999999999997</v>
      </c>
      <c r="E19" s="40">
        <f t="shared" si="1"/>
        <v>2.5</v>
      </c>
      <c r="F19" s="89"/>
      <c r="G19" s="89">
        <f>+IF(F19="",'Costos de Conservación'!$G$42,'Costos de Conservación'!$G$42*0.4)</f>
        <v>11417.743040681969</v>
      </c>
      <c r="H19" s="89" t="str">
        <f t="shared" si="4"/>
        <v/>
      </c>
      <c r="I19" s="63">
        <f>+TPDA!C19</f>
        <v>5965.9620600030894</v>
      </c>
      <c r="J19" s="64">
        <f>+TPDA!D19</f>
        <v>67.536724343284178</v>
      </c>
      <c r="K19" s="64">
        <f>+TPDA!E19</f>
        <v>451.7976271258114</v>
      </c>
      <c r="L19" s="64">
        <f>+TPDA!F19</f>
        <v>289.20404575047826</v>
      </c>
      <c r="M19" s="65">
        <f>+TPDA!G19</f>
        <v>655.24261028721889</v>
      </c>
      <c r="N19" s="59">
        <f>+VLOOKUP($E19,'VOC Rural 110km'!$A$5:$P$29,3,0)+VLOOKUP($E19,'VOC Rural 110km'!$A$5:$P$29,4,0)</f>
        <v>0.327455</v>
      </c>
      <c r="O19" s="69">
        <f>+VLOOKUP($E19,'VOC Rural 110km'!$A$5:$P$29,6,0)+VLOOKUP($E19,'VOC Rural 110km'!$A$5:$P$29,7,0)</f>
        <v>1.3180099999999999</v>
      </c>
      <c r="P19" s="69">
        <f>+VLOOKUP($E19,'VOC Rural 110km'!$A$5:$P$29,9,0)+VLOOKUP($E19,'VOC Rural 110km'!$A$5:$P$29,10,0)</f>
        <v>0.54764000000000002</v>
      </c>
      <c r="Q19" s="69">
        <f>+VLOOKUP($E19,'VOC Rural 110km'!$A$5:$P$29,12,0)+VLOOKUP($E19,'VOC Rural 110km'!$A$5:$P$29,13,0)</f>
        <v>0.92532999999999999</v>
      </c>
      <c r="R19" s="70">
        <f>+VLOOKUP($E19,'VOC Rural 110km'!$A$5:$P$29,15,0)+VLOOKUP($E19,'VOC Rural 110km'!$A$5:$P$29,16,0)</f>
        <v>1.1027199999999999</v>
      </c>
      <c r="S19" s="115">
        <f t="shared" si="2"/>
        <v>2364598.9989948892</v>
      </c>
      <c r="T19" s="104">
        <f t="shared" si="5"/>
        <v>2387149.0415002359</v>
      </c>
    </row>
    <row r="20" spans="2:20">
      <c r="B20" s="6">
        <v>2033</v>
      </c>
      <c r="C20" s="89">
        <f t="shared" si="3"/>
        <v>22550.04250534689</v>
      </c>
      <c r="D20" s="40">
        <f t="shared" si="6"/>
        <v>2.5999999999999996</v>
      </c>
      <c r="E20" s="40">
        <f t="shared" si="1"/>
        <v>2.6</v>
      </c>
      <c r="F20" s="89"/>
      <c r="G20" s="89">
        <f>+IF(F20="",'Costos de Conservación'!$G$42,'Costos de Conservación'!$G$42*0.4)</f>
        <v>11417.743040681969</v>
      </c>
      <c r="H20" s="89" t="str">
        <f t="shared" si="4"/>
        <v/>
      </c>
      <c r="I20" s="63">
        <f>+TPDA!C20</f>
        <v>6488.6340301179007</v>
      </c>
      <c r="J20" s="64">
        <f>+TPDA!D20</f>
        <v>68.296917712492188</v>
      </c>
      <c r="K20" s="64">
        <f>+TPDA!E20</f>
        <v>466.80453710842238</v>
      </c>
      <c r="L20" s="64">
        <f>+TPDA!F20</f>
        <v>323.4599757655767</v>
      </c>
      <c r="M20" s="65">
        <f>+TPDA!G20</f>
        <v>706.89014331527801</v>
      </c>
      <c r="N20" s="59">
        <f>+VLOOKUP($E20,'VOC Rural 110km'!$A$5:$P$29,3,0)+VLOOKUP($E20,'VOC Rural 110km'!$A$5:$P$29,4,0)</f>
        <v>0.32757000000000003</v>
      </c>
      <c r="O20" s="69">
        <f>+VLOOKUP($E20,'VOC Rural 110km'!$A$5:$P$29,6,0)+VLOOKUP($E20,'VOC Rural 110km'!$A$5:$P$29,7,0)</f>
        <v>1.3188800000000001</v>
      </c>
      <c r="P20" s="69">
        <f>+VLOOKUP($E20,'VOC Rural 110km'!$A$5:$P$29,9,0)+VLOOKUP($E20,'VOC Rural 110km'!$A$5:$P$29,10,0)</f>
        <v>0.54806999999999995</v>
      </c>
      <c r="Q20" s="69">
        <f>+VLOOKUP($E20,'VOC Rural 110km'!$A$5:$P$29,12,0)+VLOOKUP($E20,'VOC Rural 110km'!$A$5:$P$29,13,0)</f>
        <v>0.92632999999999999</v>
      </c>
      <c r="R20" s="70">
        <f>+VLOOKUP($E20,'VOC Rural 110km'!$A$5:$P$29,15,0)+VLOOKUP($E20,'VOC Rural 110km'!$A$5:$P$29,16,0)</f>
        <v>1.1039699999999999</v>
      </c>
      <c r="S20" s="115">
        <f t="shared" si="2"/>
        <v>2560126.3181120157</v>
      </c>
      <c r="T20" s="104">
        <f t="shared" si="5"/>
        <v>2582676.3606173624</v>
      </c>
    </row>
    <row r="21" spans="2:20">
      <c r="B21" s="6">
        <v>2034</v>
      </c>
      <c r="C21" s="89">
        <f t="shared" si="3"/>
        <v>22550.04250534689</v>
      </c>
      <c r="D21" s="40">
        <f t="shared" si="6"/>
        <v>2.7499999999999996</v>
      </c>
      <c r="E21" s="40">
        <f t="shared" si="1"/>
        <v>2.8</v>
      </c>
      <c r="F21" s="89"/>
      <c r="G21" s="89">
        <f>+IF(F21="",'Costos de Conservación'!$G$42,'Costos de Conservación'!$G$42*0.4)</f>
        <v>11417.743040681969</v>
      </c>
      <c r="H21" s="89" t="str">
        <f t="shared" si="4"/>
        <v/>
      </c>
      <c r="I21" s="63">
        <f>+TPDA!C21</f>
        <v>7057.0967688624996</v>
      </c>
      <c r="J21" s="64">
        <f>+TPDA!D21</f>
        <v>69.065667818264004</v>
      </c>
      <c r="K21" s="64">
        <f>+TPDA!E21</f>
        <v>482.30991661301567</v>
      </c>
      <c r="L21" s="64">
        <f>+TPDA!F21</f>
        <v>361.77348643503348</v>
      </c>
      <c r="M21" s="65">
        <f>+TPDA!G21</f>
        <v>762.6086381916748</v>
      </c>
      <c r="N21" s="59">
        <f>+VLOOKUP($E21,'VOC Rural 110km'!$A$5:$P$29,3,0)+VLOOKUP($E21,'VOC Rural 110km'!$A$5:$P$29,4,0)</f>
        <v>0.32790999999999998</v>
      </c>
      <c r="O21" s="69">
        <f>+VLOOKUP($E21,'VOC Rural 110km'!$A$5:$P$29,6,0)+VLOOKUP($E21,'VOC Rural 110km'!$A$5:$P$29,7,0)</f>
        <v>1.32179</v>
      </c>
      <c r="P21" s="69">
        <f>+VLOOKUP($E21,'VOC Rural 110km'!$A$5:$P$29,9,0)+VLOOKUP($E21,'VOC Rural 110km'!$A$5:$P$29,10,0)</f>
        <v>0.54937000000000002</v>
      </c>
      <c r="Q21" s="69">
        <f>+VLOOKUP($E21,'VOC Rural 110km'!$A$5:$P$29,12,0)+VLOOKUP($E21,'VOC Rural 110km'!$A$5:$P$29,13,0)</f>
        <v>0.92908000000000002</v>
      </c>
      <c r="R21" s="70">
        <f>+VLOOKUP($E21,'VOC Rural 110km'!$A$5:$P$29,15,0)+VLOOKUP($E21,'VOC Rural 110km'!$A$5:$P$29,16,0)</f>
        <v>1.1073500000000001</v>
      </c>
      <c r="S21" s="115">
        <f t="shared" si="2"/>
        <v>2776046.8740210342</v>
      </c>
      <c r="T21" s="104">
        <f t="shared" si="5"/>
        <v>2798596.9165263809</v>
      </c>
    </row>
    <row r="22" spans="2:20">
      <c r="B22" s="6">
        <v>2035</v>
      </c>
      <c r="C22" s="89">
        <f t="shared" si="3"/>
        <v>22550.04250534689</v>
      </c>
      <c r="D22" s="40">
        <f t="shared" si="6"/>
        <v>2.8999999999999995</v>
      </c>
      <c r="E22" s="40">
        <f t="shared" si="1"/>
        <v>2.9</v>
      </c>
      <c r="F22" s="89"/>
      <c r="G22" s="89">
        <f>+IF(F22="",'Costos de Conservación'!$G$42,'Costos de Conservación'!$G$42*0.4)</f>
        <v>11417.743040681969</v>
      </c>
      <c r="H22" s="89" t="str">
        <f t="shared" si="4"/>
        <v/>
      </c>
      <c r="I22" s="63">
        <f>+TPDA!C22</f>
        <v>7675.3619596857743</v>
      </c>
      <c r="J22" s="64">
        <f>+TPDA!D22</f>
        <v>69.843070975226382</v>
      </c>
      <c r="K22" s="64">
        <f>+TPDA!E22</f>
        <v>498.33032280323357</v>
      </c>
      <c r="L22" s="64">
        <f>+TPDA!F22</f>
        <v>404.62519412977673</v>
      </c>
      <c r="M22" s="65">
        <f>+TPDA!G22</f>
        <v>822.71897627121893</v>
      </c>
      <c r="N22" s="59">
        <f>+VLOOKUP($E22,'VOC Rural 110km'!$A$5:$P$29,3,0)+VLOOKUP($E22,'VOC Rural 110km'!$A$5:$P$29,4,0)</f>
        <v>0.32818999999999998</v>
      </c>
      <c r="O22" s="69">
        <f>+VLOOKUP($E22,'VOC Rural 110km'!$A$5:$P$29,6,0)+VLOOKUP($E22,'VOC Rural 110km'!$A$5:$P$29,7,0)</f>
        <v>1.32457</v>
      </c>
      <c r="P22" s="69">
        <f>+VLOOKUP($E22,'VOC Rural 110km'!$A$5:$P$29,9,0)+VLOOKUP($E22,'VOC Rural 110km'!$A$5:$P$29,10,0)</f>
        <v>0.55049500000000007</v>
      </c>
      <c r="Q22" s="69">
        <f>+VLOOKUP($E22,'VOC Rural 110km'!$A$5:$P$29,12,0)+VLOOKUP($E22,'VOC Rural 110km'!$A$5:$P$29,13,0)</f>
        <v>0.93130500000000005</v>
      </c>
      <c r="R22" s="70">
        <f>+VLOOKUP($E22,'VOC Rural 110km'!$A$5:$P$29,15,0)+VLOOKUP($E22,'VOC Rural 110km'!$A$5:$P$29,16,0)</f>
        <v>1.1100449999999999</v>
      </c>
      <c r="S22" s="115">
        <f t="shared" si="2"/>
        <v>3010303.340954551</v>
      </c>
      <c r="T22" s="104">
        <f t="shared" si="5"/>
        <v>3032853.3834598977</v>
      </c>
    </row>
    <row r="23" spans="2:20">
      <c r="B23" s="6">
        <v>2036</v>
      </c>
      <c r="C23" s="89">
        <f t="shared" si="3"/>
        <v>22550.04250534689</v>
      </c>
      <c r="D23" s="40">
        <f t="shared" si="6"/>
        <v>3.0499999999999994</v>
      </c>
      <c r="E23" s="40">
        <f t="shared" si="1"/>
        <v>3.1</v>
      </c>
      <c r="F23" s="89"/>
      <c r="G23" s="89">
        <f>+IF(F23="",'Costos de Conservación'!$G$42,'Costos de Conservación'!$G$42*0.4)</f>
        <v>11417.743040681969</v>
      </c>
      <c r="H23" s="89" t="str">
        <f t="shared" si="4"/>
        <v/>
      </c>
      <c r="I23" s="63">
        <f>+TPDA!C23</f>
        <v>8347.7927456118869</v>
      </c>
      <c r="J23" s="64">
        <f>+TPDA!D23</f>
        <v>70.629224582123527</v>
      </c>
      <c r="K23" s="64">
        <f>+TPDA!E23</f>
        <v>514.88286280546572</v>
      </c>
      <c r="L23" s="64">
        <f>+TPDA!F23</f>
        <v>452.55264374925463</v>
      </c>
      <c r="M23" s="65">
        <f>+TPDA!G23</f>
        <v>887.567331418869</v>
      </c>
      <c r="N23" s="59">
        <f>+VLOOKUP($E23,'VOC Rural 110km'!$A$5:$P$29,3,0)+VLOOKUP($E23,'VOC Rural 110km'!$A$5:$P$29,4,0)</f>
        <v>0.32896999999999998</v>
      </c>
      <c r="O23" s="69">
        <f>+VLOOKUP($E23,'VOC Rural 110km'!$A$5:$P$29,6,0)+VLOOKUP($E23,'VOC Rural 110km'!$A$5:$P$29,7,0)</f>
        <v>1.3327599999999999</v>
      </c>
      <c r="P23" s="69">
        <f>+VLOOKUP($E23,'VOC Rural 110km'!$A$5:$P$29,9,0)+VLOOKUP($E23,'VOC Rural 110km'!$A$5:$P$29,10,0)</f>
        <v>0.55372499999999991</v>
      </c>
      <c r="Q23" s="69">
        <f>+VLOOKUP($E23,'VOC Rural 110km'!$A$5:$P$29,12,0)+VLOOKUP($E23,'VOC Rural 110km'!$A$5:$P$29,13,0)</f>
        <v>0.93745999999999996</v>
      </c>
      <c r="R23" s="70">
        <f>+VLOOKUP($E23,'VOC Rural 110km'!$A$5:$P$29,15,0)+VLOOKUP($E23,'VOC Rural 110km'!$A$5:$P$29,16,0)</f>
        <v>1.1174300000000001</v>
      </c>
      <c r="S23" s="115">
        <f t="shared" si="2"/>
        <v>3273819.9765317151</v>
      </c>
      <c r="T23" s="104">
        <f t="shared" si="5"/>
        <v>3296370.0190370618</v>
      </c>
    </row>
    <row r="24" spans="2:20">
      <c r="B24" s="6">
        <v>2037</v>
      </c>
      <c r="C24" s="89">
        <f t="shared" si="3"/>
        <v>22550.04250534689</v>
      </c>
      <c r="D24" s="40">
        <f t="shared" si="6"/>
        <v>3.2999999999999994</v>
      </c>
      <c r="E24" s="40">
        <f t="shared" si="1"/>
        <v>3.3</v>
      </c>
      <c r="F24" s="89"/>
      <c r="G24" s="89">
        <f>+IF(F24="",'Costos de Conservación'!$G$42,'Costos de Conservación'!$G$42*0.4)</f>
        <v>11417.743040681969</v>
      </c>
      <c r="H24" s="89" t="str">
        <f t="shared" si="4"/>
        <v/>
      </c>
      <c r="I24" s="63">
        <f>+TPDA!C24</f>
        <v>9079.1345202621978</v>
      </c>
      <c r="J24" s="64">
        <f>+TPDA!D24</f>
        <v>71.424227134019901</v>
      </c>
      <c r="K24" s="64">
        <f>+TPDA!E24</f>
        <v>531.98521197641207</v>
      </c>
      <c r="L24" s="64">
        <f>+TPDA!F24</f>
        <v>506.15705184871013</v>
      </c>
      <c r="M24" s="65">
        <f>+TPDA!G24</f>
        <v>957.52716361596708</v>
      </c>
      <c r="N24" s="59">
        <f>+VLOOKUP($E24,'VOC Rural 110km'!$A$5:$P$29,3,0)+VLOOKUP($E24,'VOC Rural 110km'!$A$5:$P$29,4,0)</f>
        <v>0.33007500000000001</v>
      </c>
      <c r="O24" s="69">
        <f>+VLOOKUP($E24,'VOC Rural 110km'!$A$5:$P$29,6,0)+VLOOKUP($E24,'VOC Rural 110km'!$A$5:$P$29,7,0)</f>
        <v>1.3446750000000001</v>
      </c>
      <c r="P24" s="69">
        <f>+VLOOKUP($E24,'VOC Rural 110km'!$A$5:$P$29,9,0)+VLOOKUP($E24,'VOC Rural 110km'!$A$5:$P$29,10,0)</f>
        <v>0.55834000000000006</v>
      </c>
      <c r="Q24" s="69">
        <f>+VLOOKUP($E24,'VOC Rural 110km'!$A$5:$P$29,12,0)+VLOOKUP($E24,'VOC Rural 110km'!$A$5:$P$29,13,0)</f>
        <v>0.946025</v>
      </c>
      <c r="R24" s="70">
        <f>+VLOOKUP($E24,'VOC Rural 110km'!$A$5:$P$29,15,0)+VLOOKUP($E24,'VOC Rural 110km'!$A$5:$P$29,16,0)</f>
        <v>1.1276300000000001</v>
      </c>
      <c r="S24" s="115">
        <f t="shared" si="2"/>
        <v>3567206.6151726902</v>
      </c>
      <c r="T24" s="104">
        <f t="shared" si="5"/>
        <v>3589756.657678037</v>
      </c>
    </row>
    <row r="25" spans="2:20">
      <c r="B25" s="6">
        <v>2038</v>
      </c>
      <c r="C25" s="89">
        <f t="shared" si="3"/>
        <v>22550.04250534689</v>
      </c>
      <c r="D25" s="40">
        <f t="shared" si="6"/>
        <v>3.5499999999999994</v>
      </c>
      <c r="E25" s="40">
        <f t="shared" si="1"/>
        <v>3.6</v>
      </c>
      <c r="F25" s="89"/>
      <c r="G25" s="89">
        <f>+IF(F25="",'Costos de Conservación'!$G$42,'Costos de Conservación'!$G$42*0.4)</f>
        <v>11417.743040681969</v>
      </c>
      <c r="H25" s="89" t="str">
        <f t="shared" si="4"/>
        <v/>
      </c>
      <c r="I25" s="63">
        <f>+TPDA!C25</f>
        <v>9874.5484164478494</v>
      </c>
      <c r="J25" s="64">
        <f>+TPDA!D25</f>
        <v>72.228178234640424</v>
      </c>
      <c r="K25" s="64">
        <f>+TPDA!E25</f>
        <v>549.65563277742046</v>
      </c>
      <c r="L25" s="64">
        <f>+TPDA!F25</f>
        <v>566.11084848313794</v>
      </c>
      <c r="M25" s="65">
        <f>+TPDA!G25</f>
        <v>1033.0013697065049</v>
      </c>
      <c r="N25" s="59">
        <f>+VLOOKUP($E25,'VOC Rural 110km'!$A$5:$P$29,3,0)+VLOOKUP($E25,'VOC Rural 110km'!$A$5:$P$29,4,0)</f>
        <v>0.33190999999999998</v>
      </c>
      <c r="O25" s="69">
        <f>+VLOOKUP($E25,'VOC Rural 110km'!$A$5:$P$29,6,0)+VLOOKUP($E25,'VOC Rural 110km'!$A$5:$P$29,7,0)</f>
        <v>1.3641299999999998</v>
      </c>
      <c r="P25" s="69">
        <f>+VLOOKUP($E25,'VOC Rural 110km'!$A$5:$P$29,9,0)+VLOOKUP($E25,'VOC Rural 110km'!$A$5:$P$29,10,0)</f>
        <v>0.56585000000000008</v>
      </c>
      <c r="Q25" s="69">
        <f>+VLOOKUP($E25,'VOC Rural 110km'!$A$5:$P$29,12,0)+VLOOKUP($E25,'VOC Rural 110km'!$A$5:$P$29,13,0)</f>
        <v>0.95988999999999991</v>
      </c>
      <c r="R25" s="70">
        <f>+VLOOKUP($E25,'VOC Rural 110km'!$A$5:$P$29,15,0)+VLOOKUP($E25,'VOC Rural 110km'!$A$5:$P$29,16,0)</f>
        <v>1.1440800000000002</v>
      </c>
      <c r="S25" s="115">
        <f t="shared" si="2"/>
        <v>3901557.8661572039</v>
      </c>
      <c r="T25" s="104">
        <f t="shared" si="5"/>
        <v>3924107.9086625506</v>
      </c>
    </row>
    <row r="26" spans="2:20" ht="15" thickBot="1">
      <c r="B26" s="8">
        <v>2039</v>
      </c>
      <c r="C26" s="91">
        <f t="shared" si="3"/>
        <v>22550.04250534689</v>
      </c>
      <c r="D26" s="41">
        <f t="shared" si="6"/>
        <v>3.7999999999999994</v>
      </c>
      <c r="E26" s="41">
        <f t="shared" si="1"/>
        <v>3.8</v>
      </c>
      <c r="F26" s="91"/>
      <c r="G26" s="91">
        <f>+IF(F26="",'Costos de Conservación'!$G$42,'Costos de Conservación'!$G$42*0.4)</f>
        <v>11417.743040681969</v>
      </c>
      <c r="H26" s="91" t="str">
        <f t="shared" si="4"/>
        <v/>
      </c>
      <c r="I26" s="66">
        <f>+TPDA!C26</f>
        <v>10739.647728664429</v>
      </c>
      <c r="J26" s="67">
        <f>+TPDA!D26</f>
        <v>73.041178608849535</v>
      </c>
      <c r="K26" s="67">
        <f>+TPDA!E26</f>
        <v>567.9129942757553</v>
      </c>
      <c r="L26" s="67">
        <f>+TPDA!F26</f>
        <v>633.16611237511722</v>
      </c>
      <c r="M26" s="68">
        <f>+TPDA!G26</f>
        <v>1114.4246036695108</v>
      </c>
      <c r="N26" s="60">
        <f>+VLOOKUP($E26,'VOC Rural 110km'!$A$5:$P$29,3,0)+VLOOKUP($E26,'VOC Rural 110km'!$A$5:$P$29,4,0)</f>
        <v>0.33316000000000001</v>
      </c>
      <c r="O26" s="71">
        <f>+VLOOKUP($E26,'VOC Rural 110km'!$A$5:$P$29,6,0)+VLOOKUP($E26,'VOC Rural 110km'!$A$5:$P$29,7,0)</f>
        <v>1.37703</v>
      </c>
      <c r="P26" s="71">
        <f>+VLOOKUP($E26,'VOC Rural 110km'!$A$5:$P$29,9,0)+VLOOKUP($E26,'VOC Rural 110km'!$A$5:$P$29,10,0)</f>
        <v>0.57084999999999997</v>
      </c>
      <c r="Q26" s="71">
        <f>+VLOOKUP($E26,'VOC Rural 110km'!$A$5:$P$29,12,0)+VLOOKUP($E26,'VOC Rural 110km'!$A$5:$P$29,13,0)</f>
        <v>0.96902999999999995</v>
      </c>
      <c r="R26" s="72">
        <f>+VLOOKUP($E26,'VOC Rural 110km'!$A$5:$P$29,15,0)+VLOOKUP($E26,'VOC Rural 110km'!$A$5:$P$29,16,0)</f>
        <v>1.15493</v>
      </c>
      <c r="S26" s="116">
        <f t="shared" si="2"/>
        <v>4255637.5735879783</v>
      </c>
      <c r="T26" s="93">
        <f t="shared" si="5"/>
        <v>4278187.6160933254</v>
      </c>
    </row>
    <row r="28" spans="2:20" ht="15" thickBot="1"/>
    <row r="29" spans="2:20" ht="15" thickBot="1">
      <c r="B29" s="269" t="s">
        <v>73</v>
      </c>
      <c r="C29" s="270"/>
      <c r="E29" s="281" t="s">
        <v>108</v>
      </c>
      <c r="F29" s="282"/>
      <c r="G29" s="282"/>
      <c r="H29" s="282"/>
      <c r="I29" s="282"/>
      <c r="J29" s="283"/>
    </row>
    <row r="30" spans="2:20" ht="15" thickBot="1">
      <c r="B30" s="35" t="s">
        <v>74</v>
      </c>
      <c r="C30" s="36" t="s">
        <v>75</v>
      </c>
      <c r="E30" s="278" t="s">
        <v>109</v>
      </c>
      <c r="F30" s="279"/>
      <c r="G30" s="279" t="s">
        <v>110</v>
      </c>
      <c r="H30" s="279"/>
      <c r="I30" s="279" t="s">
        <v>111</v>
      </c>
      <c r="J30" s="280"/>
    </row>
    <row r="31" spans="2:20">
      <c r="B31" s="37">
        <v>3</v>
      </c>
      <c r="C31" s="38">
        <v>0.15</v>
      </c>
      <c r="E31" s="117" t="s">
        <v>57</v>
      </c>
      <c r="F31" s="118" t="s">
        <v>112</v>
      </c>
      <c r="G31" s="118" t="s">
        <v>57</v>
      </c>
      <c r="H31" s="118" t="s">
        <v>112</v>
      </c>
      <c r="I31" s="118" t="s">
        <v>57</v>
      </c>
      <c r="J31" s="119" t="s">
        <v>108</v>
      </c>
    </row>
    <row r="32" spans="2:20" ht="15" thickBot="1">
      <c r="B32" s="39" t="s">
        <v>76</v>
      </c>
      <c r="C32" s="43">
        <v>0.25</v>
      </c>
      <c r="E32" s="90">
        <v>2.2999999999999998</v>
      </c>
      <c r="F32" s="91">
        <f>+C6</f>
        <v>2567416.8460774082</v>
      </c>
      <c r="G32" s="92">
        <v>10</v>
      </c>
      <c r="H32" s="91">
        <v>0</v>
      </c>
      <c r="I32" s="92">
        <v>3.8</v>
      </c>
      <c r="J32" s="93">
        <f>+(F32-H32)/(G32-E32)*(G32-I32)+H32</f>
        <v>2067270.7072311598</v>
      </c>
    </row>
    <row r="33" spans="2:3">
      <c r="B33" s="39" t="s">
        <v>77</v>
      </c>
      <c r="C33" s="43">
        <v>0.4</v>
      </c>
    </row>
    <row r="34" spans="2:3" ht="15" thickBot="1">
      <c r="B34" s="42" t="s">
        <v>78</v>
      </c>
      <c r="C34" s="44">
        <v>0.6</v>
      </c>
    </row>
    <row r="35" spans="2:3" ht="15" thickBot="1"/>
    <row r="36" spans="2:3" ht="15" thickBot="1">
      <c r="B36" s="73" t="s">
        <v>79</v>
      </c>
      <c r="C36" s="74">
        <f>+AVERAGE(D7:D26)</f>
        <v>2.8774999999999995</v>
      </c>
    </row>
    <row r="37" spans="2:3" ht="15" thickBot="1"/>
    <row r="38" spans="2:3" ht="15" thickBot="1">
      <c r="B38" s="73" t="s">
        <v>94</v>
      </c>
      <c r="C38" s="84">
        <v>1.9750000000000001</v>
      </c>
    </row>
  </sheetData>
  <mergeCells count="10">
    <mergeCell ref="E30:F30"/>
    <mergeCell ref="G30:H30"/>
    <mergeCell ref="I30:J30"/>
    <mergeCell ref="B29:C29"/>
    <mergeCell ref="B2:T2"/>
    <mergeCell ref="B4:H4"/>
    <mergeCell ref="I4:M4"/>
    <mergeCell ref="N4:R4"/>
    <mergeCell ref="S4:T4"/>
    <mergeCell ref="E29:J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2"/>
  <sheetViews>
    <sheetView topLeftCell="A40" zoomScaleNormal="100" workbookViewId="0">
      <selection activeCell="G52" sqref="G52"/>
    </sheetView>
  </sheetViews>
  <sheetFormatPr baseColWidth="10" defaultColWidth="9.109375" defaultRowHeight="14.4"/>
  <cols>
    <col min="1" max="1" width="9" customWidth="1"/>
    <col min="2" max="2" width="12" bestFit="1" customWidth="1"/>
    <col min="3" max="3" width="12.21875" bestFit="1" customWidth="1"/>
    <col min="4" max="4" width="12" bestFit="1" customWidth="1"/>
    <col min="5" max="5" width="11.6640625" bestFit="1" customWidth="1"/>
    <col min="6" max="6" width="12.21875" bestFit="1" customWidth="1"/>
    <col min="7" max="7" width="16.21875" bestFit="1" customWidth="1"/>
    <col min="8" max="8" width="10.109375" customWidth="1"/>
    <col min="9" max="9" width="12.5546875" bestFit="1" customWidth="1"/>
    <col min="10" max="10" width="16.33203125" bestFit="1" customWidth="1"/>
    <col min="12" max="12" width="14.88671875" bestFit="1" customWidth="1"/>
    <col min="15" max="15" width="13.33203125" bestFit="1" customWidth="1"/>
    <col min="17" max="17" width="13.33203125" bestFit="1" customWidth="1"/>
    <col min="18" max="18" width="16.21875" bestFit="1" customWidth="1"/>
    <col min="19" max="19" width="9.6640625" customWidth="1"/>
    <col min="20" max="21" width="14" bestFit="1" customWidth="1"/>
    <col min="22" max="22" width="18.33203125" bestFit="1" customWidth="1"/>
    <col min="26" max="26" width="13.33203125" bestFit="1" customWidth="1"/>
    <col min="28" max="28" width="13.33203125" bestFit="1" customWidth="1"/>
    <col min="29" max="29" width="11.77734375" bestFit="1" customWidth="1"/>
  </cols>
  <sheetData>
    <row r="1" spans="2:29" ht="15" thickBot="1"/>
    <row r="2" spans="2:29" ht="15" thickBot="1">
      <c r="C2" s="275" t="s">
        <v>52</v>
      </c>
      <c r="D2" s="276"/>
      <c r="E2" s="276"/>
      <c r="F2" s="276"/>
      <c r="G2" s="277"/>
      <c r="H2" s="284" t="s">
        <v>121</v>
      </c>
      <c r="I2" s="285"/>
      <c r="J2" s="285"/>
      <c r="K2" s="285"/>
      <c r="L2" s="285"/>
      <c r="M2" s="286"/>
      <c r="N2" s="284" t="s">
        <v>122</v>
      </c>
      <c r="O2" s="285"/>
      <c r="P2" s="285"/>
      <c r="Q2" s="285"/>
      <c r="R2" s="285"/>
      <c r="S2" s="286"/>
    </row>
    <row r="3" spans="2:29" ht="28.8">
      <c r="B3" s="166" t="s">
        <v>55</v>
      </c>
      <c r="C3" s="155" t="s">
        <v>63</v>
      </c>
      <c r="D3" s="156" t="s">
        <v>64</v>
      </c>
      <c r="E3" s="156" t="s">
        <v>65</v>
      </c>
      <c r="F3" s="156" t="s">
        <v>66</v>
      </c>
      <c r="G3" s="159" t="s">
        <v>67</v>
      </c>
      <c r="H3" s="214" t="s">
        <v>57</v>
      </c>
      <c r="I3" s="212" t="s">
        <v>63</v>
      </c>
      <c r="J3" s="212" t="s">
        <v>64</v>
      </c>
      <c r="K3" s="212" t="s">
        <v>65</v>
      </c>
      <c r="L3" s="212" t="s">
        <v>66</v>
      </c>
      <c r="M3" s="213" t="s">
        <v>67</v>
      </c>
      <c r="N3" s="214" t="s">
        <v>57</v>
      </c>
      <c r="O3" s="212" t="s">
        <v>63</v>
      </c>
      <c r="P3" s="212" t="s">
        <v>64</v>
      </c>
      <c r="Q3" s="212" t="s">
        <v>65</v>
      </c>
      <c r="R3" s="212" t="s">
        <v>66</v>
      </c>
      <c r="S3" s="213" t="s">
        <v>67</v>
      </c>
      <c r="T3" s="160" t="s">
        <v>123</v>
      </c>
      <c r="U3" s="160" t="s">
        <v>124</v>
      </c>
      <c r="V3" s="160" t="s">
        <v>125</v>
      </c>
    </row>
    <row r="4" spans="2:29">
      <c r="B4" s="152">
        <v>2019</v>
      </c>
      <c r="C4" s="4"/>
      <c r="D4" s="3"/>
      <c r="E4" s="3"/>
      <c r="F4" s="3"/>
      <c r="G4" s="215"/>
      <c r="H4" s="218"/>
      <c r="I4" s="3"/>
      <c r="J4" s="3"/>
      <c r="K4" s="3"/>
      <c r="L4" s="3"/>
      <c r="M4" s="5"/>
      <c r="N4" s="218"/>
      <c r="O4" s="3"/>
      <c r="P4" s="3"/>
      <c r="Q4" s="3"/>
      <c r="R4" s="3"/>
      <c r="S4" s="5"/>
      <c r="T4" s="161"/>
      <c r="U4" s="161"/>
      <c r="V4" s="163"/>
    </row>
    <row r="5" spans="2:29">
      <c r="B5" s="153">
        <v>2020</v>
      </c>
      <c r="C5" s="63">
        <f>0.3*TPDA!C7/0.7</f>
        <v>925.84794289163801</v>
      </c>
      <c r="D5" s="64">
        <f>0.3*TPDA!D7/0.7</f>
        <v>25.278227576303166</v>
      </c>
      <c r="E5" s="64">
        <f>0.3*TPDA!E7/0.7</f>
        <v>130.4003490472609</v>
      </c>
      <c r="F5" s="64">
        <f>0.3*TPDA!F7/0.7</f>
        <v>32.007182282372142</v>
      </c>
      <c r="G5" s="216">
        <f>0.3*TPDA!G7/0.7</f>
        <v>112.16597851794137</v>
      </c>
      <c r="H5" s="219">
        <f>+'Alternativa Base'!E9</f>
        <v>2.7</v>
      </c>
      <c r="I5" s="157">
        <f>+VLOOKUP($H5,'VOC Urbano 50km'!$A$5:$P$32,3,0)+VLOOKUP($H5,'VOC Urbano 50km'!$A$5:$P$32,4,0)</f>
        <v>0.445745</v>
      </c>
      <c r="J5" s="157">
        <f>+VLOOKUP($H5,'VOC Urbano 50km'!$A$5:$P$32,6,0)+VLOOKUP($H5,'VOC Urbano 50km'!$A$5:$P$32,7,0)</f>
        <v>1.7600199999999999</v>
      </c>
      <c r="K5" s="157">
        <f>+VLOOKUP($H5,'VOC Urbano 50km'!$A$5:$P$32,9,0)+VLOOKUP($H5,'VOC Urbano 50km'!$A$5:$P$32,10,0)</f>
        <v>0.57725499999999996</v>
      </c>
      <c r="L5" s="157">
        <f>+VLOOKUP($H5,'VOC Urbano 50km'!$A$5:$P$32,12,0)+VLOOKUP($H5,'VOC Urbano 50km'!$A$5:$P$32,13,0)</f>
        <v>0.93347000000000002</v>
      </c>
      <c r="M5" s="220">
        <f>+VLOOKUP($H5,'VOC Urbano 50km'!$A$5:$P$32,15,0)+VLOOKUP($H5,'VOC Urbano 50km'!$A$5:$P$32,16,0)</f>
        <v>1.1274350000000002</v>
      </c>
      <c r="N5" s="219">
        <f t="shared" ref="N5:N24" si="0">+E32</f>
        <v>2.7</v>
      </c>
      <c r="O5" s="157">
        <f>+VLOOKUP($N5,'VOC Urbano 60km'!$A$5:$P$29,3,0)+VLOOKUP($N5,'VOC Urbano 60km'!$A$5:$P$29,4,0)</f>
        <v>0.40115999999999996</v>
      </c>
      <c r="P5" s="157">
        <f>+VLOOKUP($N5,'VOC Urbano 60km'!$A$5:$P$29,6,0)+VLOOKUP($N5,'VOC Urbano 60km'!$A$5:$P$29,7,0)</f>
        <v>1.5748500000000001</v>
      </c>
      <c r="Q5" s="157">
        <f>+VLOOKUP($N5,'VOC Urbano 60km'!$A$5:$P$29,9,0)+VLOOKUP($N5,'VOC Urbano 60km'!$A$5:$P$29,10,0)</f>
        <v>0.56420499999999996</v>
      </c>
      <c r="R5" s="157">
        <f>+VLOOKUP($N5,'VOC Urbano 60km'!$A$5:$P$29,12,0)+VLOOKUP($N5,'VOC Urbano 60km'!$A$5:$P$29,13,0)</f>
        <v>0.921435</v>
      </c>
      <c r="S5" s="220">
        <f>+VLOOKUP($N5,'VOC Urbano 60km'!$A$5:$P$29,15,0)+VLOOKUP($N5,'VOC Urbano 60km'!$A$5:$P$29,16,0)</f>
        <v>1.119885</v>
      </c>
      <c r="T5" s="161">
        <f>SUMPRODUCT(C5:G5,I5:M5)*365*$D$27</f>
        <v>435444.88067142596</v>
      </c>
      <c r="U5" s="161">
        <f>SUMPRODUCT(C5:G5,O5:S5)*365*$D$27</f>
        <v>404535.18421532307</v>
      </c>
      <c r="V5" s="164">
        <f>+T5-U5</f>
        <v>30909.696456102887</v>
      </c>
      <c r="Y5" s="223"/>
      <c r="Z5" s="259"/>
      <c r="AA5" s="223"/>
      <c r="AB5" s="259"/>
      <c r="AC5" s="259"/>
    </row>
    <row r="6" spans="2:29">
      <c r="B6" s="153">
        <v>2021</v>
      </c>
      <c r="C6" s="63">
        <f>0.3*TPDA!C8/0.7</f>
        <v>1012.3680628156845</v>
      </c>
      <c r="D6" s="64">
        <f>0.3*TPDA!D8/0.7</f>
        <v>25.581728087875291</v>
      </c>
      <c r="E6" s="64">
        <f>0.3*TPDA!E8/0.7</f>
        <v>135.020485574145</v>
      </c>
      <c r="F6" s="64">
        <f>0.3*TPDA!F8/0.7</f>
        <v>36.051148932147818</v>
      </c>
      <c r="G6" s="216">
        <f>0.3*TPDA!G8/0.7</f>
        <v>121.59653506059865</v>
      </c>
      <c r="H6" s="219">
        <f>+'Alternativa Base'!E10</f>
        <v>3</v>
      </c>
      <c r="I6" s="157">
        <f>+VLOOKUP($H6,'VOC Urbano 50km'!$A$5:$P$32,3,0)+VLOOKUP($H6,'VOC Urbano 50km'!$A$5:$P$32,4,0)</f>
        <v>0.44634000000000001</v>
      </c>
      <c r="J6" s="157">
        <f>+VLOOKUP($H6,'VOC Urbano 50km'!$A$5:$P$32,6,0)+VLOOKUP($H6,'VOC Urbano 50km'!$A$5:$P$32,7,0)</f>
        <v>1.7663199999999999</v>
      </c>
      <c r="K6" s="157">
        <f>+VLOOKUP($H6,'VOC Urbano 50km'!$A$5:$P$32,9,0)+VLOOKUP($H6,'VOC Urbano 50km'!$A$5:$P$32,10,0)</f>
        <v>0.57978999999999992</v>
      </c>
      <c r="L6" s="157">
        <f>+VLOOKUP($H6,'VOC Urbano 50km'!$A$5:$P$32,12,0)+VLOOKUP($H6,'VOC Urbano 50km'!$A$5:$P$32,13,0)</f>
        <v>0.93850999999999996</v>
      </c>
      <c r="M6" s="220">
        <f>+VLOOKUP($H6,'VOC Urbano 50km'!$A$5:$P$32,15,0)+VLOOKUP($H6,'VOC Urbano 50km'!$A$5:$P$32,16,0)</f>
        <v>1.1336200000000001</v>
      </c>
      <c r="N6" s="219">
        <f t="shared" si="0"/>
        <v>2.9</v>
      </c>
      <c r="O6" s="157">
        <f>+VLOOKUP($N6,'VOC Urbano 60km'!$A$5:$P$29,3,0)+VLOOKUP($N6,'VOC Urbano 60km'!$A$5:$P$29,4,0)</f>
        <v>0.40153499999999998</v>
      </c>
      <c r="P6" s="157">
        <f>+VLOOKUP($N6,'VOC Urbano 60km'!$A$5:$P$29,6,0)+VLOOKUP($N6,'VOC Urbano 60km'!$A$5:$P$29,7,0)</f>
        <v>1.5788449999999998</v>
      </c>
      <c r="Q6" s="157">
        <f>+VLOOKUP($N6,'VOC Urbano 60km'!$A$5:$P$29,9,0)+VLOOKUP($N6,'VOC Urbano 60km'!$A$5:$P$29,10,0)</f>
        <v>0.56574499999999994</v>
      </c>
      <c r="R6" s="157">
        <f>+VLOOKUP($N6,'VOC Urbano 60km'!$A$5:$P$29,12,0)+VLOOKUP($N6,'VOC Urbano 60km'!$A$5:$P$29,13,0)</f>
        <v>0.924535</v>
      </c>
      <c r="S6" s="220">
        <f>+VLOOKUP($N6,'VOC Urbano 60km'!$A$5:$P$29,15,0)+VLOOKUP($N6,'VOC Urbano 60km'!$A$5:$P$29,16,0)</f>
        <v>1.1236900000000001</v>
      </c>
      <c r="T6" s="161">
        <f t="shared" ref="T6:T24" si="1">SUMPRODUCT(C6:G6,I6:M6)*365*$D$27</f>
        <v>472246.80408431531</v>
      </c>
      <c r="U6" s="161">
        <f t="shared" ref="U6:U24" si="2">SUMPRODUCT(C6:G6,O6:S6)*365*$D$27</f>
        <v>438258.85489293054</v>
      </c>
      <c r="V6" s="164">
        <f t="shared" ref="V6:V24" si="3">+T6-U6</f>
        <v>33987.949191384774</v>
      </c>
      <c r="Y6" s="223"/>
      <c r="Z6" s="259"/>
      <c r="AA6" s="223"/>
      <c r="AB6" s="259"/>
      <c r="AC6" s="259"/>
    </row>
    <row r="7" spans="2:29">
      <c r="B7" s="153">
        <v>2022</v>
      </c>
      <c r="C7" s="63">
        <f>0.3*TPDA!C9/0.7</f>
        <v>1104.0170348847448</v>
      </c>
      <c r="D7" s="64">
        <f>0.3*TPDA!D9/0.7</f>
        <v>25.879274283610989</v>
      </c>
      <c r="E7" s="64">
        <f>0.3*TPDA!E9/0.7</f>
        <v>139.65482070460348</v>
      </c>
      <c r="F7" s="64">
        <f>0.3*TPDA!F9/0.7</f>
        <v>40.463712223340593</v>
      </c>
      <c r="G7" s="216">
        <f>0.3*TPDA!G9/0.7</f>
        <v>131.50049988336337</v>
      </c>
      <c r="H7" s="219">
        <f>+'Alternativa Base'!E11</f>
        <v>3.2</v>
      </c>
      <c r="I7" s="157">
        <f>+VLOOKUP($H7,'VOC Urbano 50km'!$A$5:$P$32,3,0)+VLOOKUP($H7,'VOC Urbano 50km'!$A$5:$P$32,4,0)</f>
        <v>0.44723999999999997</v>
      </c>
      <c r="J7" s="157">
        <f>+VLOOKUP($H7,'VOC Urbano 50km'!$A$5:$P$32,6,0)+VLOOKUP($H7,'VOC Urbano 50km'!$A$5:$P$32,7,0)</f>
        <v>1.7766600000000001</v>
      </c>
      <c r="K7" s="157">
        <f>+VLOOKUP($H7,'VOC Urbano 50km'!$A$5:$P$32,9,0)+VLOOKUP($H7,'VOC Urbano 50km'!$A$5:$P$32,10,0)</f>
        <v>0.58375999999999995</v>
      </c>
      <c r="L7" s="157">
        <f>+VLOOKUP($H7,'VOC Urbano 50km'!$A$5:$P$32,12,0)+VLOOKUP($H7,'VOC Urbano 50km'!$A$5:$P$32,13,0)</f>
        <v>0.94584999999999997</v>
      </c>
      <c r="M7" s="220">
        <f>+VLOOKUP($H7,'VOC Urbano 50km'!$A$5:$P$32,15,0)+VLOOKUP($H7,'VOC Urbano 50km'!$A$5:$P$32,16,0)</f>
        <v>1.14242</v>
      </c>
      <c r="N7" s="219">
        <f t="shared" si="0"/>
        <v>3</v>
      </c>
      <c r="O7" s="157">
        <f>+VLOOKUP($N7,'VOC Urbano 60km'!$A$5:$P$29,3,0)+VLOOKUP($N7,'VOC Urbano 60km'!$A$5:$P$29,4,0)</f>
        <v>0.40178000000000003</v>
      </c>
      <c r="P7" s="157">
        <f>+VLOOKUP($N7,'VOC Urbano 60km'!$A$5:$P$29,6,0)+VLOOKUP($N7,'VOC Urbano 60km'!$A$5:$P$29,7,0)</f>
        <v>1.5815000000000001</v>
      </c>
      <c r="Q7" s="157">
        <f>+VLOOKUP($N7,'VOC Urbano 60km'!$A$5:$P$29,9,0)+VLOOKUP($N7,'VOC Urbano 60km'!$A$5:$P$29,10,0)</f>
        <v>0.56676000000000004</v>
      </c>
      <c r="R7" s="157">
        <f>+VLOOKUP($N7,'VOC Urbano 60km'!$A$5:$P$29,12,0)+VLOOKUP($N7,'VOC Urbano 60km'!$A$5:$P$29,13,0)</f>
        <v>0.92650999999999994</v>
      </c>
      <c r="S7" s="220">
        <f>+VLOOKUP($N7,'VOC Urbano 60km'!$A$5:$P$29,15,0)+VLOOKUP($N7,'VOC Urbano 60km'!$A$5:$P$29,16,0)</f>
        <v>1.12609</v>
      </c>
      <c r="T7" s="161">
        <f t="shared" si="1"/>
        <v>511921.12563088542</v>
      </c>
      <c r="U7" s="161">
        <f t="shared" si="2"/>
        <v>473646.58694534597</v>
      </c>
      <c r="V7" s="164">
        <f t="shared" si="3"/>
        <v>38274.538685539446</v>
      </c>
      <c r="Y7" s="223"/>
      <c r="Z7" s="259"/>
      <c r="AA7" s="223"/>
      <c r="AB7" s="259"/>
      <c r="AC7" s="259"/>
    </row>
    <row r="8" spans="2:29">
      <c r="B8" s="153">
        <v>2023</v>
      </c>
      <c r="C8" s="63">
        <f>0.3*TPDA!C10/0.7</f>
        <v>1200.7388632939624</v>
      </c>
      <c r="D8" s="64">
        <f>0.3*TPDA!D10/0.7</f>
        <v>26.170571394947306</v>
      </c>
      <c r="E8" s="64">
        <f>0.3*TPDA!E10/0.7</f>
        <v>144.29359522912759</v>
      </c>
      <c r="F8" s="64">
        <f>0.3*TPDA!F10/0.7</f>
        <v>45.25659847248307</v>
      </c>
      <c r="G8" s="216">
        <f>0.3*TPDA!G10/0.7</f>
        <v>141.8656322851698</v>
      </c>
      <c r="H8" s="219">
        <f>+'Alternativa Base'!E12</f>
        <v>2</v>
      </c>
      <c r="I8" s="157">
        <f>+VLOOKUP($H8,'VOC Urbano 50km'!$A$5:$P$32,3,0)+VLOOKUP($H8,'VOC Urbano 50km'!$A$5:$P$32,4,0)</f>
        <v>0.44525000000000003</v>
      </c>
      <c r="J8" s="157">
        <f>+VLOOKUP($H8,'VOC Urbano 50km'!$A$5:$P$32,6,0)+VLOOKUP($H8,'VOC Urbano 50km'!$A$5:$P$32,7,0)</f>
        <v>1.75613</v>
      </c>
      <c r="K8" s="157">
        <f>+VLOOKUP($H8,'VOC Urbano 50km'!$A$5:$P$32,9,0)+VLOOKUP($H8,'VOC Urbano 50km'!$A$5:$P$32,10,0)</f>
        <v>0.57532000000000005</v>
      </c>
      <c r="L8" s="157">
        <f>+VLOOKUP($H8,'VOC Urbano 50km'!$A$5:$P$32,12,0)+VLOOKUP($H8,'VOC Urbano 50km'!$A$5:$P$32,13,0)</f>
        <v>0.92876000000000003</v>
      </c>
      <c r="M8" s="220">
        <f>+VLOOKUP($H8,'VOC Urbano 50km'!$A$5:$P$32,15,0)+VLOOKUP($H8,'VOC Urbano 50km'!$A$5:$P$32,16,0)</f>
        <v>1.1212499999999999</v>
      </c>
      <c r="N8" s="219">
        <f t="shared" si="0"/>
        <v>3.3</v>
      </c>
      <c r="O8" s="157">
        <f>+VLOOKUP($N8,'VOC Urbano 60km'!$A$5:$P$29,3,0)+VLOOKUP($N8,'VOC Urbano 60km'!$A$5:$P$29,4,0)</f>
        <v>0.40323999999999999</v>
      </c>
      <c r="P8" s="157">
        <f>+VLOOKUP($N8,'VOC Urbano 60km'!$A$5:$P$29,6,0)+VLOOKUP($N8,'VOC Urbano 60km'!$A$5:$P$29,7,0)</f>
        <v>1.5984050000000001</v>
      </c>
      <c r="Q8" s="157">
        <f>+VLOOKUP($N8,'VOC Urbano 60km'!$A$5:$P$29,9,0)+VLOOKUP($N8,'VOC Urbano 60km'!$A$5:$P$29,10,0)</f>
        <v>0.573125</v>
      </c>
      <c r="R8" s="157">
        <f>+VLOOKUP($N8,'VOC Urbano 60km'!$A$5:$P$29,12,0)+VLOOKUP($N8,'VOC Urbano 60km'!$A$5:$P$29,13,0)</f>
        <v>0.93827000000000005</v>
      </c>
      <c r="S8" s="220">
        <f>+VLOOKUP($N8,'VOC Urbano 60km'!$A$5:$P$29,15,0)+VLOOKUP($N8,'VOC Urbano 60km'!$A$5:$P$29,16,0)</f>
        <v>1.140145</v>
      </c>
      <c r="T8" s="161">
        <f t="shared" si="1"/>
        <v>546651.25044460769</v>
      </c>
      <c r="U8" s="161">
        <f t="shared" si="2"/>
        <v>513918.90827255172</v>
      </c>
      <c r="V8" s="164">
        <f t="shared" si="3"/>
        <v>32732.342172055971</v>
      </c>
      <c r="Y8" s="223"/>
      <c r="Z8" s="259"/>
      <c r="AA8" s="223"/>
      <c r="AB8" s="259"/>
      <c r="AC8" s="259"/>
    </row>
    <row r="9" spans="2:29">
      <c r="B9" s="153">
        <v>2024</v>
      </c>
      <c r="C9" s="63">
        <f>0.3*TPDA!C11/0.7</f>
        <v>1305.9343943682832</v>
      </c>
      <c r="D9" s="64">
        <f>0.3*TPDA!D11/0.7</f>
        <v>26.465147346568834</v>
      </c>
      <c r="E9" s="64">
        <f>0.3*TPDA!E11/0.7</f>
        <v>149.08645128825827</v>
      </c>
      <c r="F9" s="64">
        <f>0.3*TPDA!F11/0.7</f>
        <v>50.61719730495021</v>
      </c>
      <c r="G9" s="216">
        <f>0.3*TPDA!G11/0.7</f>
        <v>153.04776515315146</v>
      </c>
      <c r="H9" s="219">
        <f>+'Alternativa Base'!E13</f>
        <v>2.2999999999999998</v>
      </c>
      <c r="I9" s="157">
        <f>+VLOOKUP($H9,'VOC Urbano 50km'!$A$5:$P$32,3,0)+VLOOKUP($H9,'VOC Urbano 50km'!$A$5:$P$32,4,0)</f>
        <v>0.445405</v>
      </c>
      <c r="J9" s="157">
        <f>+VLOOKUP($H9,'VOC Urbano 50km'!$A$5:$P$32,6,0)+VLOOKUP($H9,'VOC Urbano 50km'!$A$5:$P$32,7,0)</f>
        <v>1.75712</v>
      </c>
      <c r="K9" s="157">
        <f>+VLOOKUP($H9,'VOC Urbano 50km'!$A$5:$P$32,9,0)+VLOOKUP($H9,'VOC Urbano 50km'!$A$5:$P$32,10,0)</f>
        <v>0.57590000000000008</v>
      </c>
      <c r="L9" s="157">
        <f>+VLOOKUP($H9,'VOC Urbano 50km'!$A$5:$P$32,12,0)+VLOOKUP($H9,'VOC Urbano 50km'!$A$5:$P$32,13,0)</f>
        <v>0.9303300000000001</v>
      </c>
      <c r="M9" s="220">
        <f>+VLOOKUP($H9,'VOC Urbano 50km'!$A$5:$P$32,15,0)+VLOOKUP($H9,'VOC Urbano 50km'!$A$5:$P$32,16,0)</f>
        <v>1.12338</v>
      </c>
      <c r="N9" s="219">
        <f t="shared" si="0"/>
        <v>2</v>
      </c>
      <c r="O9" s="157">
        <f>+VLOOKUP($N9,'VOC Urbano 60km'!$A$5:$P$29,3,0)+VLOOKUP($N9,'VOC Urbano 60km'!$A$5:$P$29,4,0)</f>
        <v>0.40062999999999999</v>
      </c>
      <c r="P9" s="157">
        <f>+VLOOKUP($N9,'VOC Urbano 60km'!$A$5:$P$29,6,0)+VLOOKUP($N9,'VOC Urbano 60km'!$A$5:$P$29,7,0)</f>
        <v>1.5701799999999999</v>
      </c>
      <c r="Q9" s="157">
        <f>+VLOOKUP($N9,'VOC Urbano 60km'!$A$5:$P$29,9,0)+VLOOKUP($N9,'VOC Urbano 60km'!$A$5:$P$29,10,0)</f>
        <v>0.56224000000000007</v>
      </c>
      <c r="R9" s="157">
        <f>+VLOOKUP($N9,'VOC Urbano 60km'!$A$5:$P$29,12,0)+VLOOKUP($N9,'VOC Urbano 60km'!$A$5:$P$29,13,0)</f>
        <v>0.91661000000000004</v>
      </c>
      <c r="S9" s="220">
        <f>+VLOOKUP($N9,'VOC Urbano 60km'!$A$5:$P$29,15,0)+VLOOKUP($N9,'VOC Urbano 60km'!$A$5:$P$29,16,0)</f>
        <v>1.1136499999999998</v>
      </c>
      <c r="T9" s="161">
        <f t="shared" si="1"/>
        <v>589861.22747675411</v>
      </c>
      <c r="U9" s="161">
        <f t="shared" si="2"/>
        <v>547099.80201072176</v>
      </c>
      <c r="V9" s="164">
        <f t="shared" si="3"/>
        <v>42761.42546603235</v>
      </c>
      <c r="Y9" s="223"/>
      <c r="Z9" s="259"/>
      <c r="AA9" s="223"/>
      <c r="AB9" s="259"/>
      <c r="AC9" s="259"/>
    </row>
    <row r="10" spans="2:29">
      <c r="B10" s="153">
        <v>2025</v>
      </c>
      <c r="C10" s="63">
        <f>0.3*TPDA!C12/0.7</f>
        <v>1420.3460007244939</v>
      </c>
      <c r="D10" s="64">
        <f>0.3*TPDA!D12/0.7</f>
        <v>26.763039045101813</v>
      </c>
      <c r="E10" s="64">
        <f>0.3*TPDA!E12/0.7</f>
        <v>154.03850685424908</v>
      </c>
      <c r="F10" s="64">
        <f>0.3*TPDA!F12/0.7</f>
        <v>56.612753708524259</v>
      </c>
      <c r="G10" s="216">
        <f>0.3*TPDA!G12/0.7</f>
        <v>165.11129609805317</v>
      </c>
      <c r="H10" s="219">
        <f>+'Alternativa Base'!E14</f>
        <v>2.5</v>
      </c>
      <c r="I10" s="157">
        <f>+VLOOKUP($H10,'VOC Urbano 50km'!$A$5:$P$32,3,0)+VLOOKUP($H10,'VOC Urbano 50km'!$A$5:$P$32,4,0)</f>
        <v>0.44554000000000005</v>
      </c>
      <c r="J10" s="157">
        <f>+VLOOKUP($H10,'VOC Urbano 50km'!$A$5:$P$32,6,0)+VLOOKUP($H10,'VOC Urbano 50km'!$A$5:$P$32,7,0)</f>
        <v>1.7581549999999999</v>
      </c>
      <c r="K10" s="157">
        <f>+VLOOKUP($H10,'VOC Urbano 50km'!$A$5:$P$32,9,0)+VLOOKUP($H10,'VOC Urbano 50km'!$A$5:$P$32,10,0)</f>
        <v>0.57642499999999997</v>
      </c>
      <c r="L10" s="157">
        <f>+VLOOKUP($H10,'VOC Urbano 50km'!$A$5:$P$32,12,0)+VLOOKUP($H10,'VOC Urbano 50km'!$A$5:$P$32,13,0)</f>
        <v>0.93162999999999996</v>
      </c>
      <c r="M10" s="220">
        <f>+VLOOKUP($H10,'VOC Urbano 50km'!$A$5:$P$32,15,0)+VLOOKUP($H10,'VOC Urbano 50km'!$A$5:$P$32,16,0)</f>
        <v>1.1250900000000001</v>
      </c>
      <c r="N10" s="219">
        <f t="shared" si="0"/>
        <v>2.2000000000000002</v>
      </c>
      <c r="O10" s="157">
        <f>+VLOOKUP($N10,'VOC Urbano 60km'!$A$5:$P$29,3,0)+VLOOKUP($N10,'VOC Urbano 60km'!$A$5:$P$29,4,0)</f>
        <v>0.40073999999999999</v>
      </c>
      <c r="P10" s="157">
        <f>+VLOOKUP($N10,'VOC Urbano 60km'!$A$5:$P$29,6,0)+VLOOKUP($N10,'VOC Urbano 60km'!$A$5:$P$29,7,0)</f>
        <v>1.5710000000000002</v>
      </c>
      <c r="Q10" s="157">
        <f>+VLOOKUP($N10,'VOC Urbano 60km'!$A$5:$P$29,9,0)+VLOOKUP($N10,'VOC Urbano 60km'!$A$5:$P$29,10,0)</f>
        <v>0.56261000000000005</v>
      </c>
      <c r="R10" s="157">
        <f>+VLOOKUP($N10,'VOC Urbano 60km'!$A$5:$P$29,12,0)+VLOOKUP($N10,'VOC Urbano 60km'!$A$5:$P$29,13,0)</f>
        <v>0.91765000000000008</v>
      </c>
      <c r="S10" s="220">
        <f>+VLOOKUP($N10,'VOC Urbano 60km'!$A$5:$P$29,15,0)+VLOOKUP($N10,'VOC Urbano 60km'!$A$5:$P$29,16,0)</f>
        <v>1.11503</v>
      </c>
      <c r="T10" s="161">
        <f t="shared" si="1"/>
        <v>636719.27085883927</v>
      </c>
      <c r="U10" s="161">
        <f t="shared" si="2"/>
        <v>590430.1968417156</v>
      </c>
      <c r="V10" s="164">
        <f t="shared" si="3"/>
        <v>46289.074017123668</v>
      </c>
      <c r="Y10" s="223"/>
      <c r="Z10" s="259"/>
      <c r="AA10" s="223"/>
      <c r="AB10" s="259"/>
      <c r="AC10" s="259"/>
    </row>
    <row r="11" spans="2:29">
      <c r="B11" s="153">
        <v>2026</v>
      </c>
      <c r="C11" s="63">
        <f>0.3*TPDA!C13/0.7</f>
        <v>1544.7810935019663</v>
      </c>
      <c r="D11" s="64">
        <f>0.3*TPDA!D13/0.7</f>
        <v>27.064283812593477</v>
      </c>
      <c r="E11" s="64">
        <f>0.3*TPDA!E13/0.7</f>
        <v>159.15504989791981</v>
      </c>
      <c r="F11" s="64">
        <f>0.3*TPDA!F13/0.7</f>
        <v>63.318477772545251</v>
      </c>
      <c r="G11" s="216">
        <f>0.3*TPDA!G13/0.7</f>
        <v>178.12569867909389</v>
      </c>
      <c r="H11" s="219">
        <f>+'Alternativa Base'!E15</f>
        <v>2.8</v>
      </c>
      <c r="I11" s="157">
        <f>+VLOOKUP($H11,'VOC Urbano 50km'!$A$5:$P$32,3,0)+VLOOKUP($H11,'VOC Urbano 50km'!$A$5:$P$32,4,0)</f>
        <v>0.44586999999999999</v>
      </c>
      <c r="J11" s="157">
        <f>+VLOOKUP($H11,'VOC Urbano 50km'!$A$5:$P$32,6,0)+VLOOKUP($H11,'VOC Urbano 50km'!$A$5:$P$32,7,0)</f>
        <v>1.76125</v>
      </c>
      <c r="K11" s="157">
        <f>+VLOOKUP($H11,'VOC Urbano 50km'!$A$5:$P$32,9,0)+VLOOKUP($H11,'VOC Urbano 50km'!$A$5:$P$32,10,0)</f>
        <v>0.57777999999999996</v>
      </c>
      <c r="L11" s="157">
        <f>+VLOOKUP($H11,'VOC Urbano 50km'!$A$5:$P$32,12,0)+VLOOKUP($H11,'VOC Urbano 50km'!$A$5:$P$32,13,0)</f>
        <v>0.93457999999999997</v>
      </c>
      <c r="M11" s="220">
        <f>+VLOOKUP($H11,'VOC Urbano 50km'!$A$5:$P$32,15,0)+VLOOKUP($H11,'VOC Urbano 50km'!$A$5:$P$32,16,0)</f>
        <v>1.1288299999999998</v>
      </c>
      <c r="N11" s="219">
        <f t="shared" si="0"/>
        <v>2.2999999999999998</v>
      </c>
      <c r="O11" s="157">
        <f>+VLOOKUP($N11,'VOC Urbano 60km'!$A$5:$P$29,3,0)+VLOOKUP($N11,'VOC Urbano 60km'!$A$5:$P$29,4,0)</f>
        <v>0.40080499999999997</v>
      </c>
      <c r="P11" s="157">
        <f>+VLOOKUP($N11,'VOC Urbano 60km'!$A$5:$P$29,6,0)+VLOOKUP($N11,'VOC Urbano 60km'!$A$5:$P$29,7,0)</f>
        <v>1.5715050000000002</v>
      </c>
      <c r="Q11" s="157">
        <f>+VLOOKUP($N11,'VOC Urbano 60km'!$A$5:$P$29,9,0)+VLOOKUP($N11,'VOC Urbano 60km'!$A$5:$P$29,10,0)</f>
        <v>0.56283000000000005</v>
      </c>
      <c r="R11" s="157">
        <f>+VLOOKUP($N11,'VOC Urbano 60km'!$A$5:$P$29,12,0)+VLOOKUP($N11,'VOC Urbano 60km'!$A$5:$P$29,13,0)</f>
        <v>0.91823500000000002</v>
      </c>
      <c r="S11" s="220">
        <f>+VLOOKUP($N11,'VOC Urbano 60km'!$A$5:$P$29,15,0)+VLOOKUP($N11,'VOC Urbano 60km'!$A$5:$P$29,16,0)</f>
        <v>1.1157949999999999</v>
      </c>
      <c r="T11" s="161">
        <f t="shared" si="1"/>
        <v>688224.31389103178</v>
      </c>
      <c r="U11" s="161">
        <f t="shared" si="2"/>
        <v>637341.65914715943</v>
      </c>
      <c r="V11" s="164">
        <f t="shared" si="3"/>
        <v>50882.65474387235</v>
      </c>
      <c r="Y11" s="223"/>
      <c r="Z11" s="259"/>
      <c r="AA11" s="223"/>
      <c r="AB11" s="259"/>
      <c r="AC11" s="259"/>
    </row>
    <row r="12" spans="2:29">
      <c r="B12" s="153">
        <v>2027</v>
      </c>
      <c r="C12" s="63">
        <f>0.3*TPDA!C14/0.7</f>
        <v>1680.11782032258</v>
      </c>
      <c r="D12" s="64">
        <f>0.3*TPDA!D14/0.7</f>
        <v>27.36891939118803</v>
      </c>
      <c r="E12" s="64">
        <f>0.3*TPDA!E14/0.7</f>
        <v>164.44154403532912</v>
      </c>
      <c r="F12" s="64">
        <f>0.3*TPDA!F14/0.7</f>
        <v>70.818488146225462</v>
      </c>
      <c r="G12" s="216">
        <f>0.3*TPDA!G14/0.7</f>
        <v>192.16592250037741</v>
      </c>
      <c r="H12" s="219">
        <f>+'Alternativa Base'!E16</f>
        <v>3</v>
      </c>
      <c r="I12" s="157">
        <f>+VLOOKUP($H12,'VOC Urbano 50km'!$A$5:$P$32,3,0)+VLOOKUP($H12,'VOC Urbano 50km'!$A$5:$P$32,4,0)</f>
        <v>0.44634000000000001</v>
      </c>
      <c r="J12" s="157">
        <f>+VLOOKUP($H12,'VOC Urbano 50km'!$A$5:$P$32,6,0)+VLOOKUP($H12,'VOC Urbano 50km'!$A$5:$P$32,7,0)</f>
        <v>1.7663199999999999</v>
      </c>
      <c r="K12" s="157">
        <f>+VLOOKUP($H12,'VOC Urbano 50km'!$A$5:$P$32,9,0)+VLOOKUP($H12,'VOC Urbano 50km'!$A$5:$P$32,10,0)</f>
        <v>0.57978999999999992</v>
      </c>
      <c r="L12" s="157">
        <f>+VLOOKUP($H12,'VOC Urbano 50km'!$A$5:$P$32,12,0)+VLOOKUP($H12,'VOC Urbano 50km'!$A$5:$P$32,13,0)</f>
        <v>0.93850999999999996</v>
      </c>
      <c r="M12" s="220">
        <f>+VLOOKUP($H12,'VOC Urbano 50km'!$A$5:$P$32,15,0)+VLOOKUP($H12,'VOC Urbano 50km'!$A$5:$P$32,16,0)</f>
        <v>1.1336200000000001</v>
      </c>
      <c r="N12" s="219">
        <f t="shared" si="0"/>
        <v>2.5</v>
      </c>
      <c r="O12" s="157">
        <f>+VLOOKUP($N12,'VOC Urbano 60km'!$A$5:$P$29,3,0)+VLOOKUP($N12,'VOC Urbano 60km'!$A$5:$P$29,4,0)</f>
        <v>0.40095000000000003</v>
      </c>
      <c r="P12" s="157">
        <f>+VLOOKUP($N12,'VOC Urbano 60km'!$A$5:$P$29,6,0)+VLOOKUP($N12,'VOC Urbano 60km'!$A$5:$P$29,7,0)</f>
        <v>1.5727600000000002</v>
      </c>
      <c r="Q12" s="157">
        <f>+VLOOKUP($N12,'VOC Urbano 60km'!$A$5:$P$29,9,0)+VLOOKUP($N12,'VOC Urbano 60km'!$A$5:$P$29,10,0)</f>
        <v>0.563365</v>
      </c>
      <c r="R12" s="157">
        <f>+VLOOKUP($N12,'VOC Urbano 60km'!$A$5:$P$29,12,0)+VLOOKUP($N12,'VOC Urbano 60km'!$A$5:$P$29,13,0)</f>
        <v>0.91956499999999997</v>
      </c>
      <c r="S12" s="220">
        <f>+VLOOKUP($N12,'VOC Urbano 60km'!$A$5:$P$29,15,0)+VLOOKUP($N12,'VOC Urbano 60km'!$A$5:$P$29,16,0)</f>
        <v>1.1175199999999998</v>
      </c>
      <c r="T12" s="161">
        <f t="shared" si="1"/>
        <v>744646.56456783949</v>
      </c>
      <c r="U12" s="161">
        <f t="shared" si="2"/>
        <v>688575.25257771672</v>
      </c>
      <c r="V12" s="164">
        <f t="shared" si="3"/>
        <v>56071.311990122776</v>
      </c>
      <c r="Y12" s="223"/>
      <c r="Z12" s="259"/>
      <c r="AA12" s="223"/>
      <c r="AB12" s="259"/>
      <c r="AC12" s="259"/>
    </row>
    <row r="13" spans="2:29">
      <c r="B13" s="153">
        <v>2028</v>
      </c>
      <c r="C13" s="63">
        <f>0.3*TPDA!C15/0.7</f>
        <v>1827.3112624432208</v>
      </c>
      <c r="D13" s="64">
        <f>0.3*TPDA!D15/0.7</f>
        <v>27.676983947855238</v>
      </c>
      <c r="E13" s="64">
        <f>0.3*TPDA!E15/0.7</f>
        <v>169.90363436200658</v>
      </c>
      <c r="F13" s="64">
        <f>0.3*TPDA!F15/0.7</f>
        <v>79.206867248657716</v>
      </c>
      <c r="G13" s="216">
        <f>0.3*TPDA!G15/0.7</f>
        <v>207.31282484370212</v>
      </c>
      <c r="H13" s="219">
        <f>+'Alternativa Base'!E17</f>
        <v>3.4</v>
      </c>
      <c r="I13" s="157">
        <f>+VLOOKUP($H13,'VOC Urbano 50km'!$A$5:$P$32,3,0)+VLOOKUP($H13,'VOC Urbano 50km'!$A$5:$P$32,4,0)</f>
        <v>0.44833999999999996</v>
      </c>
      <c r="J13" s="157">
        <f>+VLOOKUP($H13,'VOC Urbano 50km'!$A$5:$P$32,6,0)+VLOOKUP($H13,'VOC Urbano 50km'!$A$5:$P$32,7,0)</f>
        <v>1.7891300000000001</v>
      </c>
      <c r="K13" s="157">
        <f>+VLOOKUP($H13,'VOC Urbano 50km'!$A$5:$P$32,9,0)+VLOOKUP($H13,'VOC Urbano 50km'!$A$5:$P$32,10,0)</f>
        <v>0.58853</v>
      </c>
      <c r="L13" s="157">
        <f>+VLOOKUP($H13,'VOC Urbano 50km'!$A$5:$P$32,12,0)+VLOOKUP($H13,'VOC Urbano 50km'!$A$5:$P$32,13,0)</f>
        <v>0.9546</v>
      </c>
      <c r="M13" s="220">
        <f>+VLOOKUP($H13,'VOC Urbano 50km'!$A$5:$P$32,15,0)+VLOOKUP($H13,'VOC Urbano 50km'!$A$5:$P$32,16,0)</f>
        <v>1.1528700000000001</v>
      </c>
      <c r="N13" s="219">
        <f t="shared" si="0"/>
        <v>2.6</v>
      </c>
      <c r="O13" s="157">
        <f>+VLOOKUP($N13,'VOC Urbano 60km'!$A$5:$P$29,3,0)+VLOOKUP($N13,'VOC Urbano 60km'!$A$5:$P$29,4,0)</f>
        <v>0.40103</v>
      </c>
      <c r="P13" s="157">
        <f>+VLOOKUP($N13,'VOC Urbano 60km'!$A$5:$P$29,6,0)+VLOOKUP($N13,'VOC Urbano 60km'!$A$5:$P$29,7,0)</f>
        <v>1.5735100000000002</v>
      </c>
      <c r="Q13" s="157">
        <f>+VLOOKUP($N13,'VOC Urbano 60km'!$A$5:$P$29,9,0)+VLOOKUP($N13,'VOC Urbano 60km'!$A$5:$P$29,10,0)</f>
        <v>0.56367999999999996</v>
      </c>
      <c r="R13" s="157">
        <f>+VLOOKUP($N13,'VOC Urbano 60km'!$A$5:$P$29,12,0)+VLOOKUP($N13,'VOC Urbano 60km'!$A$5:$P$29,13,0)</f>
        <v>0.92030999999999996</v>
      </c>
      <c r="S13" s="220">
        <f>+VLOOKUP($N13,'VOC Urbano 60km'!$A$5:$P$29,15,0)+VLOOKUP($N13,'VOC Urbano 60km'!$A$5:$P$29,16,0)</f>
        <v>1.1184799999999999</v>
      </c>
      <c r="T13" s="161">
        <f t="shared" si="1"/>
        <v>811334.9596569062</v>
      </c>
      <c r="U13" s="161">
        <f t="shared" si="2"/>
        <v>744016.55157488701</v>
      </c>
      <c r="V13" s="164">
        <f t="shared" si="3"/>
        <v>67318.408082019188</v>
      </c>
      <c r="Y13" s="223"/>
      <c r="Z13" s="259"/>
      <c r="AA13" s="223"/>
      <c r="AB13" s="259"/>
      <c r="AC13" s="259"/>
    </row>
    <row r="14" spans="2:29">
      <c r="B14" s="153">
        <v>2029</v>
      </c>
      <c r="C14" s="63">
        <f>0.3*TPDA!C16/0.7</f>
        <v>1987.4001748346091</v>
      </c>
      <c r="D14" s="64">
        <f>0.3*TPDA!D16/0.7</f>
        <v>27.988516079172292</v>
      </c>
      <c r="E14" s="64">
        <f>0.3*TPDA!E16/0.7</f>
        <v>175.54715348097497</v>
      </c>
      <c r="F14" s="64">
        <f>0.3*TPDA!F16/0.7</f>
        <v>88.588841467393991</v>
      </c>
      <c r="G14" s="216">
        <f>0.3*TPDA!G16/0.7</f>
        <v>223.65363632353245</v>
      </c>
      <c r="H14" s="219">
        <f>+'Alternativa Base'!E18</f>
        <v>2.2000000000000002</v>
      </c>
      <c r="I14" s="157">
        <f>+VLOOKUP($H14,'VOC Urbano 50km'!$A$5:$P$32,3,0)+VLOOKUP($H14,'VOC Urbano 50km'!$A$5:$P$32,4,0)</f>
        <v>0.44535000000000002</v>
      </c>
      <c r="J14" s="157">
        <f>+VLOOKUP($H14,'VOC Urbano 50km'!$A$5:$P$32,6,0)+VLOOKUP($H14,'VOC Urbano 50km'!$A$5:$P$32,7,0)</f>
        <v>1.7567200000000001</v>
      </c>
      <c r="K14" s="157">
        <f>+VLOOKUP($H14,'VOC Urbano 50km'!$A$5:$P$32,9,0)+VLOOKUP($H14,'VOC Urbano 50km'!$A$5:$P$32,10,0)</f>
        <v>0.57567999999999997</v>
      </c>
      <c r="L14" s="157">
        <f>+VLOOKUP($H14,'VOC Urbano 50km'!$A$5:$P$32,12,0)+VLOOKUP($H14,'VOC Urbano 50km'!$A$5:$P$32,13,0)</f>
        <v>0.92976000000000003</v>
      </c>
      <c r="M14" s="220">
        <f>+VLOOKUP($H14,'VOC Urbano 50km'!$A$5:$P$32,15,0)+VLOOKUP($H14,'VOC Urbano 50km'!$A$5:$P$32,16,0)</f>
        <v>1.12262</v>
      </c>
      <c r="N14" s="219">
        <f t="shared" si="0"/>
        <v>2.8</v>
      </c>
      <c r="O14" s="157">
        <f>+VLOOKUP($N14,'VOC Urbano 60km'!$A$5:$P$29,3,0)+VLOOKUP($N14,'VOC Urbano 60km'!$A$5:$P$29,4,0)</f>
        <v>0.40129000000000004</v>
      </c>
      <c r="P14" s="157">
        <f>+VLOOKUP($N14,'VOC Urbano 60km'!$A$5:$P$29,6,0)+VLOOKUP($N14,'VOC Urbano 60km'!$A$5:$P$29,7,0)</f>
        <v>1.57619</v>
      </c>
      <c r="Q14" s="157">
        <f>+VLOOKUP($N14,'VOC Urbano 60km'!$A$5:$P$29,9,0)+VLOOKUP($N14,'VOC Urbano 60km'!$A$5:$P$29,10,0)</f>
        <v>0.56472999999999995</v>
      </c>
      <c r="R14" s="157">
        <f>+VLOOKUP($N14,'VOC Urbano 60km'!$A$5:$P$29,12,0)+VLOOKUP($N14,'VOC Urbano 60km'!$A$5:$P$29,13,0)</f>
        <v>0.92256000000000005</v>
      </c>
      <c r="S14" s="220">
        <f>+VLOOKUP($N14,'VOC Urbano 60km'!$A$5:$P$29,15,0)+VLOOKUP($N14,'VOC Urbano 60km'!$A$5:$P$29,16,0)</f>
        <v>1.1212899999999999</v>
      </c>
      <c r="T14" s="161">
        <f t="shared" si="1"/>
        <v>865308.70808351738</v>
      </c>
      <c r="U14" s="161">
        <f t="shared" si="2"/>
        <v>804950.80487572378</v>
      </c>
      <c r="V14" s="164">
        <f t="shared" si="3"/>
        <v>60357.903207793599</v>
      </c>
      <c r="Y14" s="223"/>
      <c r="Z14" s="259"/>
      <c r="AA14" s="223"/>
      <c r="AB14" s="259"/>
      <c r="AC14" s="259"/>
    </row>
    <row r="15" spans="2:29">
      <c r="B15" s="153">
        <v>2030</v>
      </c>
      <c r="C15" s="63">
        <f>0.3*TPDA!C17/0.7</f>
        <v>2161.5143167516944</v>
      </c>
      <c r="D15" s="64">
        <f>0.3*TPDA!D17/0.7</f>
        <v>28.303554816159448</v>
      </c>
      <c r="E15" s="64">
        <f>0.3*TPDA!E17/0.7</f>
        <v>181.37812773099901</v>
      </c>
      <c r="F15" s="64">
        <f>0.3*TPDA!F17/0.7</f>
        <v>99.082101150365361</v>
      </c>
      <c r="G15" s="216">
        <f>0.3*TPDA!G17/0.7</f>
        <v>241.28246324582588</v>
      </c>
      <c r="H15" s="219">
        <f>+'Alternativa Base'!E19</f>
        <v>2.5</v>
      </c>
      <c r="I15" s="157">
        <f>+VLOOKUP($H15,'VOC Urbano 50km'!$A$5:$P$32,3,0)+VLOOKUP($H15,'VOC Urbano 50km'!$A$5:$P$32,4,0)</f>
        <v>0.44554000000000005</v>
      </c>
      <c r="J15" s="157">
        <f>+VLOOKUP($H15,'VOC Urbano 50km'!$A$5:$P$32,6,0)+VLOOKUP($H15,'VOC Urbano 50km'!$A$5:$P$32,7,0)</f>
        <v>1.7581549999999999</v>
      </c>
      <c r="K15" s="157">
        <f>+VLOOKUP($H15,'VOC Urbano 50km'!$A$5:$P$32,9,0)+VLOOKUP($H15,'VOC Urbano 50km'!$A$5:$P$32,10,0)</f>
        <v>0.57642499999999997</v>
      </c>
      <c r="L15" s="157">
        <f>+VLOOKUP($H15,'VOC Urbano 50km'!$A$5:$P$32,12,0)+VLOOKUP($H15,'VOC Urbano 50km'!$A$5:$P$32,13,0)</f>
        <v>0.93162999999999996</v>
      </c>
      <c r="M15" s="220">
        <f>+VLOOKUP($H15,'VOC Urbano 50km'!$A$5:$P$32,15,0)+VLOOKUP($H15,'VOC Urbano 50km'!$A$5:$P$32,16,0)</f>
        <v>1.1250900000000001</v>
      </c>
      <c r="N15" s="219">
        <f t="shared" si="0"/>
        <v>2.9</v>
      </c>
      <c r="O15" s="157">
        <f>+VLOOKUP($N15,'VOC Urbano 60km'!$A$5:$P$29,3,0)+VLOOKUP($N15,'VOC Urbano 60km'!$A$5:$P$29,4,0)</f>
        <v>0.40153499999999998</v>
      </c>
      <c r="P15" s="157">
        <f>+VLOOKUP($N15,'VOC Urbano 60km'!$A$5:$P$29,6,0)+VLOOKUP($N15,'VOC Urbano 60km'!$A$5:$P$29,7,0)</f>
        <v>1.5788449999999998</v>
      </c>
      <c r="Q15" s="157">
        <f>+VLOOKUP($N15,'VOC Urbano 60km'!$A$5:$P$29,9,0)+VLOOKUP($N15,'VOC Urbano 60km'!$A$5:$P$29,10,0)</f>
        <v>0.56574499999999994</v>
      </c>
      <c r="R15" s="157">
        <f>+VLOOKUP($N15,'VOC Urbano 60km'!$A$5:$P$29,12,0)+VLOOKUP($N15,'VOC Urbano 60km'!$A$5:$P$29,13,0)</f>
        <v>0.924535</v>
      </c>
      <c r="S15" s="220">
        <f>+VLOOKUP($N15,'VOC Urbano 60km'!$A$5:$P$29,15,0)+VLOOKUP($N15,'VOC Urbano 60km'!$A$5:$P$29,16,0)</f>
        <v>1.1236900000000001</v>
      </c>
      <c r="T15" s="161">
        <f t="shared" si="1"/>
        <v>936344.93385128828</v>
      </c>
      <c r="U15" s="161">
        <f t="shared" si="2"/>
        <v>871122.18829502992</v>
      </c>
      <c r="V15" s="164">
        <f t="shared" si="3"/>
        <v>65222.745556258364</v>
      </c>
      <c r="Y15" s="223"/>
      <c r="Z15" s="259"/>
      <c r="AA15" s="223"/>
      <c r="AB15" s="259"/>
      <c r="AC15" s="259"/>
    </row>
    <row r="16" spans="2:29">
      <c r="B16" s="153">
        <v>2031</v>
      </c>
      <c r="C16" s="63">
        <f>0.3*TPDA!C18/0.7</f>
        <v>2350.8824245279939</v>
      </c>
      <c r="D16" s="64">
        <f>0.3*TPDA!D18/0.7</f>
        <v>28.622139629170146</v>
      </c>
      <c r="E16" s="64">
        <f>0.3*TPDA!E18/0.7</f>
        <v>187.40278362171188</v>
      </c>
      <c r="F16" s="64">
        <f>0.3*TPDA!F18/0.7</f>
        <v>110.81827694952497</v>
      </c>
      <c r="G16" s="216">
        <f>0.3*TPDA!G18/0.7</f>
        <v>260.30082956378834</v>
      </c>
      <c r="H16" s="219">
        <f>+'Alternativa Base'!E20</f>
        <v>2.7</v>
      </c>
      <c r="I16" s="157">
        <f>+VLOOKUP($H16,'VOC Urbano 50km'!$A$5:$P$32,3,0)+VLOOKUP($H16,'VOC Urbano 50km'!$A$5:$P$32,4,0)</f>
        <v>0.445745</v>
      </c>
      <c r="J16" s="157">
        <f>+VLOOKUP($H16,'VOC Urbano 50km'!$A$5:$P$32,6,0)+VLOOKUP($H16,'VOC Urbano 50km'!$A$5:$P$32,7,0)</f>
        <v>1.7600199999999999</v>
      </c>
      <c r="K16" s="157">
        <f>+VLOOKUP($H16,'VOC Urbano 50km'!$A$5:$P$32,9,0)+VLOOKUP($H16,'VOC Urbano 50km'!$A$5:$P$32,10,0)</f>
        <v>0.57725499999999996</v>
      </c>
      <c r="L16" s="157">
        <f>+VLOOKUP($H16,'VOC Urbano 50km'!$A$5:$P$32,12,0)+VLOOKUP($H16,'VOC Urbano 50km'!$A$5:$P$32,13,0)</f>
        <v>0.93347000000000002</v>
      </c>
      <c r="M16" s="220">
        <f>+VLOOKUP($H16,'VOC Urbano 50km'!$A$5:$P$32,15,0)+VLOOKUP($H16,'VOC Urbano 50km'!$A$5:$P$32,16,0)</f>
        <v>1.1274350000000002</v>
      </c>
      <c r="N16" s="219">
        <f t="shared" si="0"/>
        <v>3.1</v>
      </c>
      <c r="O16" s="157">
        <f>+VLOOKUP($N16,'VOC Urbano 60km'!$A$5:$P$29,3,0)+VLOOKUP($N16,'VOC Urbano 60km'!$A$5:$P$29,4,0)</f>
        <v>0.40223500000000001</v>
      </c>
      <c r="P16" s="157">
        <f>+VLOOKUP($N16,'VOC Urbano 60km'!$A$5:$P$29,6,0)+VLOOKUP($N16,'VOC Urbano 60km'!$A$5:$P$29,7,0)</f>
        <v>1.586775</v>
      </c>
      <c r="Q16" s="157">
        <f>+VLOOKUP($N16,'VOC Urbano 60km'!$A$5:$P$29,9,0)+VLOOKUP($N16,'VOC Urbano 60km'!$A$5:$P$29,10,0)</f>
        <v>0.56874500000000006</v>
      </c>
      <c r="R16" s="157">
        <f>+VLOOKUP($N16,'VOC Urbano 60km'!$A$5:$P$29,12,0)+VLOOKUP($N16,'VOC Urbano 60km'!$A$5:$P$29,13,0)</f>
        <v>0.93019499999999999</v>
      </c>
      <c r="S16" s="220">
        <f>+VLOOKUP($N16,'VOC Urbano 60km'!$A$5:$P$29,15,0)+VLOOKUP($N16,'VOC Urbano 60km'!$A$5:$P$29,16,0)</f>
        <v>1.1305000000000001</v>
      </c>
      <c r="T16" s="161">
        <f t="shared" si="1"/>
        <v>1013623.3184044983</v>
      </c>
      <c r="U16" s="161">
        <f t="shared" si="2"/>
        <v>945091.09203521034</v>
      </c>
      <c r="V16" s="164">
        <f t="shared" si="3"/>
        <v>68532.226369287935</v>
      </c>
      <c r="Y16" s="223"/>
      <c r="Z16" s="259"/>
      <c r="AA16" s="223"/>
      <c r="AB16" s="259"/>
      <c r="AC16" s="259"/>
    </row>
    <row r="17" spans="2:29">
      <c r="B17" s="153">
        <v>2032</v>
      </c>
      <c r="C17" s="63">
        <f>0.3*TPDA!C19/0.7</f>
        <v>2556.840882858467</v>
      </c>
      <c r="D17" s="64">
        <f>0.3*TPDA!D19/0.7</f>
        <v>28.944310432836076</v>
      </c>
      <c r="E17" s="64">
        <f>0.3*TPDA!E19/0.7</f>
        <v>193.62755448249061</v>
      </c>
      <c r="F17" s="64">
        <f>0.3*TPDA!F19/0.7</f>
        <v>123.94459103591926</v>
      </c>
      <c r="G17" s="216">
        <f>0.3*TPDA!G19/0.7</f>
        <v>280.81826155166522</v>
      </c>
      <c r="H17" s="219">
        <f>+'Alternativa Base'!E21</f>
        <v>3</v>
      </c>
      <c r="I17" s="157">
        <f>+VLOOKUP($H17,'VOC Urbano 50km'!$A$5:$P$32,3,0)+VLOOKUP($H17,'VOC Urbano 50km'!$A$5:$P$32,4,0)</f>
        <v>0.44634000000000001</v>
      </c>
      <c r="J17" s="157">
        <f>+VLOOKUP($H17,'VOC Urbano 50km'!$A$5:$P$32,6,0)+VLOOKUP($H17,'VOC Urbano 50km'!$A$5:$P$32,7,0)</f>
        <v>1.7663199999999999</v>
      </c>
      <c r="K17" s="157">
        <f>+VLOOKUP($H17,'VOC Urbano 50km'!$A$5:$P$32,9,0)+VLOOKUP($H17,'VOC Urbano 50km'!$A$5:$P$32,10,0)</f>
        <v>0.57978999999999992</v>
      </c>
      <c r="L17" s="157">
        <f>+VLOOKUP($H17,'VOC Urbano 50km'!$A$5:$P$32,12,0)+VLOOKUP($H17,'VOC Urbano 50km'!$A$5:$P$32,13,0)</f>
        <v>0.93850999999999996</v>
      </c>
      <c r="M17" s="220">
        <f>+VLOOKUP($H17,'VOC Urbano 50km'!$A$5:$P$32,15,0)+VLOOKUP($H17,'VOC Urbano 50km'!$A$5:$P$32,16,0)</f>
        <v>1.1336200000000001</v>
      </c>
      <c r="N17" s="219">
        <f t="shared" si="0"/>
        <v>3.4</v>
      </c>
      <c r="O17" s="157">
        <f>+VLOOKUP($N17,'VOC Urbano 60km'!$A$5:$P$29,3,0)+VLOOKUP($N17,'VOC Urbano 60km'!$A$5:$P$29,4,0)</f>
        <v>0.40378999999999998</v>
      </c>
      <c r="P17" s="157">
        <f>+VLOOKUP($N17,'VOC Urbano 60km'!$A$5:$P$29,6,0)+VLOOKUP($N17,'VOC Urbano 60km'!$A$5:$P$29,7,0)</f>
        <v>1.60476</v>
      </c>
      <c r="Q17" s="157">
        <f>+VLOOKUP($N17,'VOC Urbano 60km'!$A$5:$P$29,9,0)+VLOOKUP($N17,'VOC Urbano 60km'!$A$5:$P$29,10,0)</f>
        <v>0.57551999999999992</v>
      </c>
      <c r="R17" s="157">
        <f>+VLOOKUP($N17,'VOC Urbano 60km'!$A$5:$P$29,12,0)+VLOOKUP($N17,'VOC Urbano 60km'!$A$5:$P$29,13,0)</f>
        <v>0.94265999999999994</v>
      </c>
      <c r="S17" s="220">
        <f>+VLOOKUP($N17,'VOC Urbano 60km'!$A$5:$P$29,15,0)+VLOOKUP($N17,'VOC Urbano 60km'!$A$5:$P$29,16,0)</f>
        <v>1.1453800000000001</v>
      </c>
      <c r="T17" s="161">
        <f t="shared" si="1"/>
        <v>1099541.2257577416</v>
      </c>
      <c r="U17" s="161">
        <f t="shared" si="2"/>
        <v>1029697.610775115</v>
      </c>
      <c r="V17" s="164">
        <f t="shared" si="3"/>
        <v>69843.614982626634</v>
      </c>
      <c r="Y17" s="223"/>
      <c r="Z17" s="259"/>
      <c r="AA17" s="223"/>
      <c r="AB17" s="259"/>
      <c r="AC17" s="259"/>
    </row>
    <row r="18" spans="2:29">
      <c r="B18" s="153">
        <v>2033</v>
      </c>
      <c r="C18" s="63">
        <f>0.3*TPDA!C20/0.7</f>
        <v>2780.8431557648146</v>
      </c>
      <c r="D18" s="64">
        <f>0.3*TPDA!D20/0.7</f>
        <v>29.270107591068079</v>
      </c>
      <c r="E18" s="64">
        <f>0.3*TPDA!E20/0.7</f>
        <v>200.05908733218101</v>
      </c>
      <c r="F18" s="64">
        <f>0.3*TPDA!F20/0.7</f>
        <v>138.62570389953288</v>
      </c>
      <c r="G18" s="216">
        <f>0.3*TPDA!G20/0.7</f>
        <v>302.95291856369062</v>
      </c>
      <c r="H18" s="219">
        <f>+'Alternativa Base'!E22</f>
        <v>3.2</v>
      </c>
      <c r="I18" s="157">
        <f>+VLOOKUP($H18,'VOC Urbano 50km'!$A$5:$P$32,3,0)+VLOOKUP($H18,'VOC Urbano 50km'!$A$5:$P$32,4,0)</f>
        <v>0.44723999999999997</v>
      </c>
      <c r="J18" s="157">
        <f>+VLOOKUP($H18,'VOC Urbano 50km'!$A$5:$P$32,6,0)+VLOOKUP($H18,'VOC Urbano 50km'!$A$5:$P$32,7,0)</f>
        <v>1.7766600000000001</v>
      </c>
      <c r="K18" s="157">
        <f>+VLOOKUP($H18,'VOC Urbano 50km'!$A$5:$P$32,9,0)+VLOOKUP($H18,'VOC Urbano 50km'!$A$5:$P$32,10,0)</f>
        <v>0.58375999999999995</v>
      </c>
      <c r="L18" s="157">
        <f>+VLOOKUP($H18,'VOC Urbano 50km'!$A$5:$P$32,12,0)+VLOOKUP($H18,'VOC Urbano 50km'!$A$5:$P$32,13,0)</f>
        <v>0.94584999999999997</v>
      </c>
      <c r="M18" s="220">
        <f>+VLOOKUP($H18,'VOC Urbano 50km'!$A$5:$P$32,15,0)+VLOOKUP($H18,'VOC Urbano 50km'!$A$5:$P$32,16,0)</f>
        <v>1.14242</v>
      </c>
      <c r="N18" s="219">
        <f t="shared" si="0"/>
        <v>2.2000000000000002</v>
      </c>
      <c r="O18" s="157">
        <f>+VLOOKUP($N18,'VOC Urbano 60km'!$A$5:$P$29,3,0)+VLOOKUP($N18,'VOC Urbano 60km'!$A$5:$P$29,4,0)</f>
        <v>0.40073999999999999</v>
      </c>
      <c r="P18" s="157">
        <f>+VLOOKUP($N18,'VOC Urbano 60km'!$A$5:$P$29,6,0)+VLOOKUP($N18,'VOC Urbano 60km'!$A$5:$P$29,7,0)</f>
        <v>1.5710000000000002</v>
      </c>
      <c r="Q18" s="157">
        <f>+VLOOKUP($N18,'VOC Urbano 60km'!$A$5:$P$29,9,0)+VLOOKUP($N18,'VOC Urbano 60km'!$A$5:$P$29,10,0)</f>
        <v>0.56261000000000005</v>
      </c>
      <c r="R18" s="157">
        <f>+VLOOKUP($N18,'VOC Urbano 60km'!$A$5:$P$29,12,0)+VLOOKUP($N18,'VOC Urbano 60km'!$A$5:$P$29,13,0)</f>
        <v>0.91765000000000008</v>
      </c>
      <c r="S18" s="220">
        <f>+VLOOKUP($N18,'VOC Urbano 60km'!$A$5:$P$29,15,0)+VLOOKUP($N18,'VOC Urbano 60km'!$A$5:$P$29,16,0)</f>
        <v>1.11503</v>
      </c>
      <c r="T18" s="161">
        <f t="shared" si="1"/>
        <v>1194646.6510085952</v>
      </c>
      <c r="U18" s="161">
        <f t="shared" si="2"/>
        <v>1098701.753628524</v>
      </c>
      <c r="V18" s="164">
        <f t="shared" si="3"/>
        <v>95944.897380071227</v>
      </c>
      <c r="Y18" s="223"/>
      <c r="Z18" s="259"/>
      <c r="AA18" s="223"/>
      <c r="AB18" s="259"/>
      <c r="AC18" s="259"/>
    </row>
    <row r="19" spans="2:29">
      <c r="B19" s="153">
        <v>2034</v>
      </c>
      <c r="C19" s="63">
        <f>0.3*TPDA!C21/0.7</f>
        <v>3024.4700437982142</v>
      </c>
      <c r="D19" s="64">
        <f>0.3*TPDA!D21/0.7</f>
        <v>29.599571922113146</v>
      </c>
      <c r="E19" s="64">
        <f>0.3*TPDA!E21/0.7</f>
        <v>206.70424997700673</v>
      </c>
      <c r="F19" s="64">
        <f>0.3*TPDA!F21/0.7</f>
        <v>155.04577990072863</v>
      </c>
      <c r="G19" s="216">
        <f>0.3*TPDA!G21/0.7</f>
        <v>326.83227351071781</v>
      </c>
      <c r="H19" s="219">
        <f>+'Alternativa Base'!E23</f>
        <v>2.2000000000000002</v>
      </c>
      <c r="I19" s="157">
        <f>+VLOOKUP($H19,'VOC Urbano 50km'!$A$5:$P$32,3,0)+VLOOKUP($H19,'VOC Urbano 50km'!$A$5:$P$32,4,0)</f>
        <v>0.44535000000000002</v>
      </c>
      <c r="J19" s="157">
        <f>+VLOOKUP($H19,'VOC Urbano 50km'!$A$5:$P$32,6,0)+VLOOKUP($H19,'VOC Urbano 50km'!$A$5:$P$32,7,0)</f>
        <v>1.7567200000000001</v>
      </c>
      <c r="K19" s="157">
        <f>+VLOOKUP($H19,'VOC Urbano 50km'!$A$5:$P$32,9,0)+VLOOKUP($H19,'VOC Urbano 50km'!$A$5:$P$32,10,0)</f>
        <v>0.57567999999999997</v>
      </c>
      <c r="L19" s="157">
        <f>+VLOOKUP($H19,'VOC Urbano 50km'!$A$5:$P$32,12,0)+VLOOKUP($H19,'VOC Urbano 50km'!$A$5:$P$32,13,0)</f>
        <v>0.92976000000000003</v>
      </c>
      <c r="M19" s="220">
        <f>+VLOOKUP($H19,'VOC Urbano 50km'!$A$5:$P$32,15,0)+VLOOKUP($H19,'VOC Urbano 50km'!$A$5:$P$32,16,0)</f>
        <v>1.12262</v>
      </c>
      <c r="N19" s="219">
        <f t="shared" si="0"/>
        <v>2.4</v>
      </c>
      <c r="O19" s="157">
        <f>+VLOOKUP($N19,'VOC Urbano 60km'!$A$5:$P$29,3,0)+VLOOKUP($N19,'VOC Urbano 60km'!$A$5:$P$29,4,0)</f>
        <v>0.40087</v>
      </c>
      <c r="P19" s="157">
        <f>+VLOOKUP($N19,'VOC Urbano 60km'!$A$5:$P$29,6,0)+VLOOKUP($N19,'VOC Urbano 60km'!$A$5:$P$29,7,0)</f>
        <v>1.5720100000000001</v>
      </c>
      <c r="Q19" s="157">
        <f>+VLOOKUP($N19,'VOC Urbano 60km'!$A$5:$P$29,9,0)+VLOOKUP($N19,'VOC Urbano 60km'!$A$5:$P$29,10,0)</f>
        <v>0.56305000000000005</v>
      </c>
      <c r="R19" s="157">
        <f>+VLOOKUP($N19,'VOC Urbano 60km'!$A$5:$P$29,12,0)+VLOOKUP($N19,'VOC Urbano 60km'!$A$5:$P$29,13,0)</f>
        <v>0.91882000000000008</v>
      </c>
      <c r="S19" s="220">
        <f>+VLOOKUP($N19,'VOC Urbano 60km'!$A$5:$P$29,15,0)+VLOOKUP($N19,'VOC Urbano 60km'!$A$5:$P$29,16,0)</f>
        <v>1.11656</v>
      </c>
      <c r="T19" s="161">
        <f t="shared" si="1"/>
        <v>1282705.3804850671</v>
      </c>
      <c r="U19" s="161">
        <f t="shared" si="2"/>
        <v>1190227.400206228</v>
      </c>
      <c r="V19" s="164">
        <f t="shared" si="3"/>
        <v>92477.980278839124</v>
      </c>
      <c r="Y19" s="223"/>
      <c r="Z19" s="259"/>
      <c r="AA19" s="223"/>
      <c r="AB19" s="259"/>
      <c r="AC19" s="259"/>
    </row>
    <row r="20" spans="2:29">
      <c r="B20" s="153">
        <v>2035</v>
      </c>
      <c r="C20" s="63">
        <f>0.3*TPDA!C22/0.7</f>
        <v>3289.4408398653322</v>
      </c>
      <c r="D20" s="64">
        <f>0.3*TPDA!D22/0.7</f>
        <v>29.932744703668451</v>
      </c>
      <c r="E20" s="64">
        <f>0.3*TPDA!E22/0.7</f>
        <v>213.57013834424293</v>
      </c>
      <c r="F20" s="64">
        <f>0.3*TPDA!F22/0.7</f>
        <v>173.41079748419003</v>
      </c>
      <c r="G20" s="216">
        <f>0.3*TPDA!G22/0.7</f>
        <v>352.59384697337953</v>
      </c>
      <c r="H20" s="219">
        <f>+'Alternativa Base'!E24</f>
        <v>2.5</v>
      </c>
      <c r="I20" s="157">
        <f>+VLOOKUP($H20,'VOC Urbano 50km'!$A$5:$P$32,3,0)+VLOOKUP($H20,'VOC Urbano 50km'!$A$5:$P$32,4,0)</f>
        <v>0.44554000000000005</v>
      </c>
      <c r="J20" s="157">
        <f>+VLOOKUP($H20,'VOC Urbano 50km'!$A$5:$P$32,6,0)+VLOOKUP($H20,'VOC Urbano 50km'!$A$5:$P$32,7,0)</f>
        <v>1.7581549999999999</v>
      </c>
      <c r="K20" s="157">
        <f>+VLOOKUP($H20,'VOC Urbano 50km'!$A$5:$P$32,9,0)+VLOOKUP($H20,'VOC Urbano 50km'!$A$5:$P$32,10,0)</f>
        <v>0.57642499999999997</v>
      </c>
      <c r="L20" s="157">
        <f>+VLOOKUP($H20,'VOC Urbano 50km'!$A$5:$P$32,12,0)+VLOOKUP($H20,'VOC Urbano 50km'!$A$5:$P$32,13,0)</f>
        <v>0.93162999999999996</v>
      </c>
      <c r="M20" s="220">
        <f>+VLOOKUP($H20,'VOC Urbano 50km'!$A$5:$P$32,15,0)+VLOOKUP($H20,'VOC Urbano 50km'!$A$5:$P$32,16,0)</f>
        <v>1.1250900000000001</v>
      </c>
      <c r="N20" s="219">
        <f t="shared" si="0"/>
        <v>2.5</v>
      </c>
      <c r="O20" s="157">
        <f>+VLOOKUP($N20,'VOC Urbano 60km'!$A$5:$P$29,3,0)+VLOOKUP($N20,'VOC Urbano 60km'!$A$5:$P$29,4,0)</f>
        <v>0.40095000000000003</v>
      </c>
      <c r="P20" s="157">
        <f>+VLOOKUP($N20,'VOC Urbano 60km'!$A$5:$P$29,6,0)+VLOOKUP($N20,'VOC Urbano 60km'!$A$5:$P$29,7,0)</f>
        <v>1.5727600000000002</v>
      </c>
      <c r="Q20" s="157">
        <f>+VLOOKUP($N20,'VOC Urbano 60km'!$A$5:$P$29,9,0)+VLOOKUP($N20,'VOC Urbano 60km'!$A$5:$P$29,10,0)</f>
        <v>0.563365</v>
      </c>
      <c r="R20" s="157">
        <f>+VLOOKUP($N20,'VOC Urbano 60km'!$A$5:$P$29,12,0)+VLOOKUP($N20,'VOC Urbano 60km'!$A$5:$P$29,13,0)</f>
        <v>0.91956499999999997</v>
      </c>
      <c r="S20" s="220">
        <f>+VLOOKUP($N20,'VOC Urbano 60km'!$A$5:$P$29,15,0)+VLOOKUP($N20,'VOC Urbano 60km'!$A$5:$P$29,16,0)</f>
        <v>1.1175199999999998</v>
      </c>
      <c r="T20" s="161">
        <f t="shared" si="1"/>
        <v>1390530.9669287137</v>
      </c>
      <c r="U20" s="161">
        <f t="shared" si="2"/>
        <v>1289523.006770273</v>
      </c>
      <c r="V20" s="164">
        <f t="shared" si="3"/>
        <v>101007.96015844075</v>
      </c>
      <c r="Y20" s="223"/>
      <c r="Z20" s="259"/>
      <c r="AA20" s="223"/>
      <c r="AB20" s="259"/>
      <c r="AC20" s="259"/>
    </row>
    <row r="21" spans="2:29">
      <c r="B21" s="153">
        <v>2036</v>
      </c>
      <c r="C21" s="63">
        <f>0.3*TPDA!C23/0.7</f>
        <v>3577.6254624050944</v>
      </c>
      <c r="D21" s="64">
        <f>0.3*TPDA!D23/0.7</f>
        <v>30.26966767805294</v>
      </c>
      <c r="E21" s="64">
        <f>0.3*TPDA!E23/0.7</f>
        <v>220.6640840594853</v>
      </c>
      <c r="F21" s="64">
        <f>0.3*TPDA!F23/0.7</f>
        <v>193.95113303539486</v>
      </c>
      <c r="G21" s="216">
        <f>0.3*TPDA!G23/0.7</f>
        <v>380.3859991795153</v>
      </c>
      <c r="H21" s="219">
        <f>+'Alternativa Base'!E25</f>
        <v>2.7</v>
      </c>
      <c r="I21" s="157">
        <f>+VLOOKUP($H21,'VOC Urbano 50km'!$A$5:$P$32,3,0)+VLOOKUP($H21,'VOC Urbano 50km'!$A$5:$P$32,4,0)</f>
        <v>0.445745</v>
      </c>
      <c r="J21" s="157">
        <f>+VLOOKUP($H21,'VOC Urbano 50km'!$A$5:$P$32,6,0)+VLOOKUP($H21,'VOC Urbano 50km'!$A$5:$P$32,7,0)</f>
        <v>1.7600199999999999</v>
      </c>
      <c r="K21" s="157">
        <f>+VLOOKUP($H21,'VOC Urbano 50km'!$A$5:$P$32,9,0)+VLOOKUP($H21,'VOC Urbano 50km'!$A$5:$P$32,10,0)</f>
        <v>0.57725499999999996</v>
      </c>
      <c r="L21" s="157">
        <f>+VLOOKUP($H21,'VOC Urbano 50km'!$A$5:$P$32,12,0)+VLOOKUP($H21,'VOC Urbano 50km'!$A$5:$P$32,13,0)</f>
        <v>0.93347000000000002</v>
      </c>
      <c r="M21" s="220">
        <f>+VLOOKUP($H21,'VOC Urbano 50km'!$A$5:$P$32,15,0)+VLOOKUP($H21,'VOC Urbano 50km'!$A$5:$P$32,16,0)</f>
        <v>1.1274350000000002</v>
      </c>
      <c r="N21" s="219">
        <f t="shared" si="0"/>
        <v>2.7</v>
      </c>
      <c r="O21" s="157">
        <f>+VLOOKUP($N21,'VOC Urbano 60km'!$A$5:$P$29,3,0)+VLOOKUP($N21,'VOC Urbano 60km'!$A$5:$P$29,4,0)</f>
        <v>0.40115999999999996</v>
      </c>
      <c r="P21" s="157">
        <f>+VLOOKUP($N21,'VOC Urbano 60km'!$A$5:$P$29,6,0)+VLOOKUP($N21,'VOC Urbano 60km'!$A$5:$P$29,7,0)</f>
        <v>1.5748500000000001</v>
      </c>
      <c r="Q21" s="157">
        <f>+VLOOKUP($N21,'VOC Urbano 60km'!$A$5:$P$29,9,0)+VLOOKUP($N21,'VOC Urbano 60km'!$A$5:$P$29,10,0)</f>
        <v>0.56420499999999996</v>
      </c>
      <c r="R21" s="157">
        <f>+VLOOKUP($N21,'VOC Urbano 60km'!$A$5:$P$29,12,0)+VLOOKUP($N21,'VOC Urbano 60km'!$A$5:$P$29,13,0)</f>
        <v>0.921435</v>
      </c>
      <c r="S21" s="220">
        <f>+VLOOKUP($N21,'VOC Urbano 60km'!$A$5:$P$29,15,0)+VLOOKUP($N21,'VOC Urbano 60km'!$A$5:$P$29,16,0)</f>
        <v>1.119885</v>
      </c>
      <c r="T21" s="161">
        <f t="shared" si="1"/>
        <v>1507931.2871232342</v>
      </c>
      <c r="U21" s="161">
        <f t="shared" si="2"/>
        <v>1398437.4294664061</v>
      </c>
      <c r="V21" s="164">
        <f t="shared" si="3"/>
        <v>109493.85765682813</v>
      </c>
      <c r="Y21" s="223"/>
      <c r="Z21" s="259"/>
      <c r="AA21" s="223"/>
      <c r="AB21" s="259"/>
      <c r="AC21" s="259"/>
    </row>
    <row r="22" spans="2:29">
      <c r="B22" s="153">
        <v>2037</v>
      </c>
      <c r="C22" s="63">
        <f>0.3*TPDA!C24/0.7</f>
        <v>3891.0576515409421</v>
      </c>
      <c r="D22" s="64">
        <f>0.3*TPDA!D24/0.7</f>
        <v>30.610383057437105</v>
      </c>
      <c r="E22" s="64">
        <f>0.3*TPDA!E24/0.7</f>
        <v>227.99366227560517</v>
      </c>
      <c r="F22" s="64">
        <f>0.3*TPDA!F24/0.7</f>
        <v>216.92445079230433</v>
      </c>
      <c r="G22" s="216">
        <f>0.3*TPDA!G24/0.7</f>
        <v>410.36878440684302</v>
      </c>
      <c r="H22" s="219">
        <f>+'Alternativa Base'!E26</f>
        <v>3</v>
      </c>
      <c r="I22" s="157">
        <f>+VLOOKUP($H22,'VOC Urbano 50km'!$A$5:$P$32,3,0)+VLOOKUP($H22,'VOC Urbano 50km'!$A$5:$P$32,4,0)</f>
        <v>0.44634000000000001</v>
      </c>
      <c r="J22" s="157">
        <f>+VLOOKUP($H22,'VOC Urbano 50km'!$A$5:$P$32,6,0)+VLOOKUP($H22,'VOC Urbano 50km'!$A$5:$P$32,7,0)</f>
        <v>1.7663199999999999</v>
      </c>
      <c r="K22" s="157">
        <f>+VLOOKUP($H22,'VOC Urbano 50km'!$A$5:$P$32,9,0)+VLOOKUP($H22,'VOC Urbano 50km'!$A$5:$P$32,10,0)</f>
        <v>0.57978999999999992</v>
      </c>
      <c r="L22" s="157">
        <f>+VLOOKUP($H22,'VOC Urbano 50km'!$A$5:$P$32,12,0)+VLOOKUP($H22,'VOC Urbano 50km'!$A$5:$P$32,13,0)</f>
        <v>0.93850999999999996</v>
      </c>
      <c r="M22" s="220">
        <f>+VLOOKUP($H22,'VOC Urbano 50km'!$A$5:$P$32,15,0)+VLOOKUP($H22,'VOC Urbano 50km'!$A$5:$P$32,16,0)</f>
        <v>1.1336200000000001</v>
      </c>
      <c r="N22" s="219">
        <f t="shared" si="0"/>
        <v>2.8</v>
      </c>
      <c r="O22" s="157">
        <f>+VLOOKUP($N22,'VOC Urbano 60km'!$A$5:$P$29,3,0)+VLOOKUP($N22,'VOC Urbano 60km'!$A$5:$P$29,4,0)</f>
        <v>0.40129000000000004</v>
      </c>
      <c r="P22" s="157">
        <f>+VLOOKUP($N22,'VOC Urbano 60km'!$A$5:$P$29,6,0)+VLOOKUP($N22,'VOC Urbano 60km'!$A$5:$P$29,7,0)</f>
        <v>1.57619</v>
      </c>
      <c r="Q22" s="157">
        <f>+VLOOKUP($N22,'VOC Urbano 60km'!$A$5:$P$29,9,0)+VLOOKUP($N22,'VOC Urbano 60km'!$A$5:$P$29,10,0)</f>
        <v>0.56472999999999995</v>
      </c>
      <c r="R22" s="157">
        <f>+VLOOKUP($N22,'VOC Urbano 60km'!$A$5:$P$29,12,0)+VLOOKUP($N22,'VOC Urbano 60km'!$A$5:$P$29,13,0)</f>
        <v>0.92256000000000005</v>
      </c>
      <c r="S22" s="220">
        <f>+VLOOKUP($N22,'VOC Urbano 60km'!$A$5:$P$29,15,0)+VLOOKUP($N22,'VOC Urbano 60km'!$A$5:$P$29,16,0)</f>
        <v>1.1212899999999999</v>
      </c>
      <c r="T22" s="161">
        <f t="shared" si="1"/>
        <v>1638482.0984690092</v>
      </c>
      <c r="U22" s="161">
        <f t="shared" si="2"/>
        <v>1516429.1220248302</v>
      </c>
      <c r="V22" s="164">
        <f t="shared" si="3"/>
        <v>122052.97644417896</v>
      </c>
      <c r="Y22" s="223"/>
      <c r="Z22" s="259"/>
      <c r="AA22" s="223"/>
      <c r="AB22" s="259"/>
      <c r="AC22" s="259"/>
    </row>
    <row r="23" spans="2:29">
      <c r="B23" s="153">
        <v>2038</v>
      </c>
      <c r="C23" s="63">
        <f>0.3*TPDA!C25/0.7</f>
        <v>4231.9493213347932</v>
      </c>
      <c r="D23" s="64">
        <f>0.3*TPDA!D25/0.7</f>
        <v>30.954933529131612</v>
      </c>
      <c r="E23" s="64">
        <f>0.3*TPDA!E25/0.7</f>
        <v>235.56669976175164</v>
      </c>
      <c r="F23" s="64">
        <f>0.3*TPDA!F25/0.7</f>
        <v>242.61893506420199</v>
      </c>
      <c r="G23" s="216">
        <f>0.3*TPDA!G25/0.7</f>
        <v>442.71487273135921</v>
      </c>
      <c r="H23" s="219">
        <f>+'Alternativa Base'!E27</f>
        <v>3.2</v>
      </c>
      <c r="I23" s="157">
        <f>+VLOOKUP($H23,'VOC Urbano 50km'!$A$5:$P$32,3,0)+VLOOKUP($H23,'VOC Urbano 50km'!$A$5:$P$32,4,0)</f>
        <v>0.44723999999999997</v>
      </c>
      <c r="J23" s="157">
        <f>+VLOOKUP($H23,'VOC Urbano 50km'!$A$5:$P$32,6,0)+VLOOKUP($H23,'VOC Urbano 50km'!$A$5:$P$32,7,0)</f>
        <v>1.7766600000000001</v>
      </c>
      <c r="K23" s="157">
        <f>+VLOOKUP($H23,'VOC Urbano 50km'!$A$5:$P$32,9,0)+VLOOKUP($H23,'VOC Urbano 50km'!$A$5:$P$32,10,0)</f>
        <v>0.58375999999999995</v>
      </c>
      <c r="L23" s="157">
        <f>+VLOOKUP($H23,'VOC Urbano 50km'!$A$5:$P$32,12,0)+VLOOKUP($H23,'VOC Urbano 50km'!$A$5:$P$32,13,0)</f>
        <v>0.94584999999999997</v>
      </c>
      <c r="M23" s="220">
        <f>+VLOOKUP($H23,'VOC Urbano 50km'!$A$5:$P$32,15,0)+VLOOKUP($H23,'VOC Urbano 50km'!$A$5:$P$32,16,0)</f>
        <v>1.14242</v>
      </c>
      <c r="N23" s="219">
        <f t="shared" si="0"/>
        <v>3</v>
      </c>
      <c r="O23" s="157">
        <f>+VLOOKUP($N23,'VOC Urbano 60km'!$A$5:$P$29,3,0)+VLOOKUP($N23,'VOC Urbano 60km'!$A$5:$P$29,4,0)</f>
        <v>0.40178000000000003</v>
      </c>
      <c r="P23" s="157">
        <f>+VLOOKUP($N23,'VOC Urbano 60km'!$A$5:$P$29,6,0)+VLOOKUP($N23,'VOC Urbano 60km'!$A$5:$P$29,7,0)</f>
        <v>1.5815000000000001</v>
      </c>
      <c r="Q23" s="157">
        <f>+VLOOKUP($N23,'VOC Urbano 60km'!$A$5:$P$29,9,0)+VLOOKUP($N23,'VOC Urbano 60km'!$A$5:$P$29,10,0)</f>
        <v>0.56676000000000004</v>
      </c>
      <c r="R23" s="157">
        <f>+VLOOKUP($N23,'VOC Urbano 60km'!$A$5:$P$29,12,0)+VLOOKUP($N23,'VOC Urbano 60km'!$A$5:$P$29,13,0)</f>
        <v>0.92650999999999994</v>
      </c>
      <c r="S23" s="220">
        <f>+VLOOKUP($N23,'VOC Urbano 60km'!$A$5:$P$29,15,0)+VLOOKUP($N23,'VOC Urbano 60km'!$A$5:$P$29,16,0)</f>
        <v>1.12609</v>
      </c>
      <c r="T23" s="161">
        <f t="shared" si="1"/>
        <v>1783047.7387046714</v>
      </c>
      <c r="U23" s="161">
        <f t="shared" si="2"/>
        <v>1647537.7551390801</v>
      </c>
      <c r="V23" s="164">
        <f t="shared" si="3"/>
        <v>135509.98356559128</v>
      </c>
      <c r="Y23" s="223"/>
      <c r="Z23" s="259"/>
      <c r="AA23" s="223"/>
      <c r="AB23" s="259"/>
      <c r="AC23" s="259"/>
    </row>
    <row r="24" spans="2:29" ht="15" thickBot="1">
      <c r="B24" s="154">
        <v>2039</v>
      </c>
      <c r="C24" s="66">
        <f>0.3*TPDA!C26/0.7</f>
        <v>4602.7061694276126</v>
      </c>
      <c r="D24" s="67">
        <f>0.3*TPDA!D26/0.7</f>
        <v>31.303362260935515</v>
      </c>
      <c r="E24" s="67">
        <f>0.3*TPDA!E26/0.7</f>
        <v>243.39128326103798</v>
      </c>
      <c r="F24" s="67">
        <f>0.3*TPDA!F26/0.7</f>
        <v>271.35690530362166</v>
      </c>
      <c r="G24" s="217">
        <f>0.3*TPDA!G26/0.7</f>
        <v>477.61054442979037</v>
      </c>
      <c r="H24" s="221">
        <f>+'Alternativa Base'!E28</f>
        <v>2.2000000000000002</v>
      </c>
      <c r="I24" s="158">
        <f>+VLOOKUP($H24,'VOC Urbano 50km'!$A$5:$P$32,3,0)+VLOOKUP($H24,'VOC Urbano 50km'!$A$5:$P$32,4,0)</f>
        <v>0.44535000000000002</v>
      </c>
      <c r="J24" s="158">
        <f>+VLOOKUP($H24,'VOC Urbano 50km'!$A$5:$P$32,6,0)+VLOOKUP($H24,'VOC Urbano 50km'!$A$5:$P$32,7,0)</f>
        <v>1.7567200000000001</v>
      </c>
      <c r="K24" s="158">
        <f>+VLOOKUP($H24,'VOC Urbano 50km'!$A$5:$P$32,9,0)+VLOOKUP($H24,'VOC Urbano 50km'!$A$5:$P$32,10,0)</f>
        <v>0.57567999999999997</v>
      </c>
      <c r="L24" s="158">
        <f>+VLOOKUP($H24,'VOC Urbano 50km'!$A$5:$P$32,12,0)+VLOOKUP($H24,'VOC Urbano 50km'!$A$5:$P$32,13,0)</f>
        <v>0.92976000000000003</v>
      </c>
      <c r="M24" s="222">
        <f>+VLOOKUP($H24,'VOC Urbano 50km'!$A$5:$P$32,15,0)+VLOOKUP($H24,'VOC Urbano 50km'!$A$5:$P$32,16,0)</f>
        <v>1.12262</v>
      </c>
      <c r="N24" s="221">
        <f t="shared" si="0"/>
        <v>3.1</v>
      </c>
      <c r="O24" s="158">
        <f>+VLOOKUP($N24,'VOC Urbano 60km'!$A$5:$P$29,3,0)+VLOOKUP($N24,'VOC Urbano 60km'!$A$5:$P$29,4,0)</f>
        <v>0.40223500000000001</v>
      </c>
      <c r="P24" s="158">
        <f>+VLOOKUP($N24,'VOC Urbano 60km'!$A$5:$P$29,6,0)+VLOOKUP($N24,'VOC Urbano 60km'!$A$5:$P$29,7,0)</f>
        <v>1.586775</v>
      </c>
      <c r="Q24" s="158">
        <f>+VLOOKUP($N24,'VOC Urbano 60km'!$A$5:$P$29,9,0)+VLOOKUP($N24,'VOC Urbano 60km'!$A$5:$P$29,10,0)</f>
        <v>0.56874500000000006</v>
      </c>
      <c r="R24" s="158">
        <f>+VLOOKUP($N24,'VOC Urbano 60km'!$A$5:$P$29,12,0)+VLOOKUP($N24,'VOC Urbano 60km'!$A$5:$P$29,13,0)</f>
        <v>0.93019499999999999</v>
      </c>
      <c r="S24" s="222">
        <f>+VLOOKUP($N24,'VOC Urbano 60km'!$A$5:$P$29,15,0)+VLOOKUP($N24,'VOC Urbano 60km'!$A$5:$P$29,16,0)</f>
        <v>1.1305000000000001</v>
      </c>
      <c r="T24" s="162">
        <f t="shared" si="1"/>
        <v>1917664.197813116</v>
      </c>
      <c r="U24" s="162">
        <f t="shared" si="2"/>
        <v>1790233.6350352901</v>
      </c>
      <c r="V24" s="165">
        <f t="shared" si="3"/>
        <v>127430.56277782586</v>
      </c>
      <c r="Y24" s="223"/>
      <c r="Z24" s="259"/>
      <c r="AA24" s="223"/>
      <c r="AB24" s="259"/>
      <c r="AC24" s="259"/>
    </row>
    <row r="26" spans="2:29" ht="15" thickBot="1"/>
    <row r="27" spans="2:29" ht="15" thickBot="1">
      <c r="C27" s="73" t="s">
        <v>94</v>
      </c>
      <c r="D27" s="57">
        <f>+'Alternativa Base'!C39</f>
        <v>1.7320119745570557</v>
      </c>
    </row>
    <row r="29" spans="2:29" ht="15" thickBot="1"/>
    <row r="30" spans="2:29" ht="15" thickBot="1">
      <c r="B30" s="272" t="s">
        <v>132</v>
      </c>
      <c r="C30" s="273"/>
      <c r="D30" s="273"/>
      <c r="E30" s="273"/>
      <c r="F30" s="273"/>
      <c r="G30" s="273"/>
      <c r="H30" s="274"/>
      <c r="I30" s="226" t="s">
        <v>133</v>
      </c>
      <c r="J30" s="287" t="s">
        <v>134</v>
      </c>
    </row>
    <row r="31" spans="2:29" ht="28.8">
      <c r="B31" s="96" t="s">
        <v>55</v>
      </c>
      <c r="C31" s="97" t="s">
        <v>56</v>
      </c>
      <c r="D31" s="97" t="s">
        <v>57</v>
      </c>
      <c r="E31" s="97"/>
      <c r="F31" s="98" t="s">
        <v>58</v>
      </c>
      <c r="G31" s="98" t="s">
        <v>62</v>
      </c>
      <c r="H31" s="100" t="s">
        <v>59</v>
      </c>
      <c r="I31" s="227" t="s">
        <v>56</v>
      </c>
      <c r="J31" s="288"/>
      <c r="L31" s="160" t="s">
        <v>149</v>
      </c>
    </row>
    <row r="32" spans="2:29">
      <c r="B32" s="6">
        <v>2020</v>
      </c>
      <c r="C32" s="89">
        <f>+SUM(F32:H32)*$D$27</f>
        <v>11535.720144223615</v>
      </c>
      <c r="D32" s="247">
        <v>2.73</v>
      </c>
      <c r="E32" s="245">
        <f>+ROUND(D32,1)</f>
        <v>2.7</v>
      </c>
      <c r="F32" s="2"/>
      <c r="G32" s="89">
        <f>+IF(F32="",'Costos de Conservación'!$G$46,'Costos de Conservación'!$G$46*0.4)</f>
        <v>6660.3004561638536</v>
      </c>
      <c r="H32" s="104" t="str">
        <f>+IF(F32="","",F32*0.03)</f>
        <v/>
      </c>
      <c r="I32" s="161">
        <f>+'Alternativa Base'!C9</f>
        <v>11535.720144223615</v>
      </c>
      <c r="J32" s="224">
        <f>+I32-C32</f>
        <v>0</v>
      </c>
      <c r="K32" s="223"/>
      <c r="L32" s="244">
        <f>+'Alternativa Base'!D9</f>
        <v>2.73</v>
      </c>
      <c r="N32" s="223"/>
      <c r="O32" s="94"/>
      <c r="P32" s="223"/>
      <c r="Q32" s="94"/>
      <c r="R32" s="94"/>
    </row>
    <row r="33" spans="2:18">
      <c r="B33" s="6">
        <v>2021</v>
      </c>
      <c r="C33" s="89">
        <f t="shared" ref="C33:C51" si="4">+SUM(F33:H33)*$D$27</f>
        <v>11535.720144223615</v>
      </c>
      <c r="D33" s="247">
        <f>+IF(D32&lt;$B$55,D32+$C$55,(IF(D32&lt;$B$56,D32+$C$56,(IF(D32&lt;$B$57,D32+$C$57,D32+$C$58)))))</f>
        <v>2.88</v>
      </c>
      <c r="E33" s="245">
        <f t="shared" ref="E33:E51" si="5">+ROUND(D33,1)</f>
        <v>2.9</v>
      </c>
      <c r="F33" s="2"/>
      <c r="G33" s="89">
        <f>+IF(F33="",'Costos de Conservación'!$G$46,'Costos de Conservación'!$G$46*0.4)</f>
        <v>6660.3004561638536</v>
      </c>
      <c r="H33" s="104" t="str">
        <f t="shared" ref="H33:H51" si="6">+IF(F33="","",F33*0.03)</f>
        <v/>
      </c>
      <c r="I33" s="161">
        <f>+'Alternativa Base'!C10</f>
        <v>11535.720144223615</v>
      </c>
      <c r="J33" s="224">
        <f t="shared" ref="J33:J51" si="7">+I33-C33</f>
        <v>0</v>
      </c>
      <c r="L33" s="244">
        <f>+'Alternativa Base'!D10</f>
        <v>2.98</v>
      </c>
      <c r="N33" s="223"/>
      <c r="O33" s="94"/>
      <c r="P33" s="223"/>
      <c r="Q33" s="94"/>
      <c r="R33" s="94"/>
    </row>
    <row r="34" spans="2:18">
      <c r="B34" s="6">
        <v>2022</v>
      </c>
      <c r="C34" s="89">
        <f t="shared" si="4"/>
        <v>11535.720144223615</v>
      </c>
      <c r="D34" s="247">
        <f t="shared" ref="D34:D51" si="8">+IF(D33&lt;$B$55,D33+$C$55,(IF(D33&lt;$B$56,D33+$C$56,(IF(D33&lt;$B$57,D33+$C$57,D33+$C$58)))))</f>
        <v>3.03</v>
      </c>
      <c r="E34" s="245">
        <f t="shared" si="5"/>
        <v>3</v>
      </c>
      <c r="F34" s="2"/>
      <c r="G34" s="89">
        <f>+IF(F34="",'Costos de Conservación'!$G$46,'Costos de Conservación'!$G$46*0.4)</f>
        <v>6660.3004561638536</v>
      </c>
      <c r="H34" s="104" t="str">
        <f t="shared" si="6"/>
        <v/>
      </c>
      <c r="I34" s="161">
        <f>+'Alternativa Base'!C11</f>
        <v>11535.720144223615</v>
      </c>
      <c r="J34" s="224">
        <f t="shared" si="7"/>
        <v>0</v>
      </c>
      <c r="L34" s="244">
        <f>+'Alternativa Base'!D11</f>
        <v>3.23</v>
      </c>
      <c r="N34" s="223"/>
      <c r="O34" s="94"/>
      <c r="P34" s="223"/>
      <c r="Q34" s="94"/>
      <c r="R34" s="94"/>
    </row>
    <row r="35" spans="2:18">
      <c r="B35" s="6">
        <v>2023</v>
      </c>
      <c r="C35" s="89">
        <f t="shared" si="4"/>
        <v>11535.720144223615</v>
      </c>
      <c r="D35" s="247">
        <f t="shared" si="8"/>
        <v>3.3299999999999996</v>
      </c>
      <c r="E35" s="245">
        <f t="shared" si="5"/>
        <v>3.3</v>
      </c>
      <c r="F35" s="2"/>
      <c r="G35" s="89">
        <f>+IF(F35="",'Costos de Conservación'!$G$46,'Costos de Conservación'!$G$46*0.4)</f>
        <v>6660.3004561638536</v>
      </c>
      <c r="H35" s="104" t="str">
        <f t="shared" si="6"/>
        <v/>
      </c>
      <c r="I35" s="255">
        <f>+'Alternativa Base'!C12</f>
        <v>360976.54683488567</v>
      </c>
      <c r="J35" s="224">
        <f t="shared" si="7"/>
        <v>349440.82669066207</v>
      </c>
      <c r="L35" s="257">
        <f>+'Alternativa Base'!D12</f>
        <v>2</v>
      </c>
      <c r="N35" s="223"/>
      <c r="O35" s="94"/>
      <c r="P35" s="223"/>
      <c r="Q35" s="94"/>
      <c r="R35" s="94"/>
    </row>
    <row r="36" spans="2:18">
      <c r="B36" s="46">
        <v>2024</v>
      </c>
      <c r="C36" s="105">
        <f>+SUM(F36:H36)*$D$27</f>
        <v>360976.54683488567</v>
      </c>
      <c r="D36" s="253">
        <v>2</v>
      </c>
      <c r="E36" s="254">
        <f t="shared" si="5"/>
        <v>2</v>
      </c>
      <c r="F36" s="105">
        <f>+'Costos de Conservación'!$J$9</f>
        <v>199757.72719488418</v>
      </c>
      <c r="G36" s="105">
        <f>+IF(F36="",'Costos de Conservación'!$G$46,'Costos de Conservación'!$G$46*0.4)</f>
        <v>2664.1201824655418</v>
      </c>
      <c r="H36" s="106">
        <f t="shared" si="6"/>
        <v>5992.731815846525</v>
      </c>
      <c r="I36" s="161">
        <f>+'Alternativa Base'!C13</f>
        <v>11535.720144223615</v>
      </c>
      <c r="J36" s="224">
        <f t="shared" si="7"/>
        <v>-349440.82669066207</v>
      </c>
      <c r="L36" s="244">
        <f>+'Alternativa Base'!D13</f>
        <v>2.25</v>
      </c>
      <c r="N36" s="223"/>
      <c r="O36" s="94"/>
      <c r="P36" s="223"/>
      <c r="Q36" s="94"/>
      <c r="R36" s="94"/>
    </row>
    <row r="37" spans="2:18">
      <c r="B37" s="6">
        <v>2025</v>
      </c>
      <c r="C37" s="89">
        <f>+SUM(F37:H37)*$D$27</f>
        <v>11535.720144223615</v>
      </c>
      <c r="D37" s="247">
        <f t="shared" si="8"/>
        <v>2.15</v>
      </c>
      <c r="E37" s="245">
        <f t="shared" si="5"/>
        <v>2.2000000000000002</v>
      </c>
      <c r="G37" s="89">
        <f>+IF(F37="",'Costos de Conservación'!$G$46,'Costos de Conservación'!$G$46*0.4)</f>
        <v>6660.3004561638536</v>
      </c>
      <c r="H37" s="104" t="str">
        <f t="shared" si="6"/>
        <v/>
      </c>
      <c r="I37" s="161">
        <f>+'Alternativa Base'!C14</f>
        <v>11535.720144223615</v>
      </c>
      <c r="J37" s="224">
        <f t="shared" si="7"/>
        <v>0</v>
      </c>
      <c r="L37" s="244">
        <f>+'Alternativa Base'!D14</f>
        <v>2.5</v>
      </c>
      <c r="N37" s="223"/>
      <c r="O37" s="94"/>
      <c r="P37" s="223"/>
      <c r="Q37" s="94"/>
      <c r="R37" s="94"/>
    </row>
    <row r="38" spans="2:18">
      <c r="B38" s="6">
        <v>2026</v>
      </c>
      <c r="C38" s="89">
        <f t="shared" si="4"/>
        <v>11535.720144223615</v>
      </c>
      <c r="D38" s="247">
        <f t="shared" si="8"/>
        <v>2.2999999999999998</v>
      </c>
      <c r="E38" s="245">
        <f t="shared" si="5"/>
        <v>2.2999999999999998</v>
      </c>
      <c r="F38" s="89"/>
      <c r="G38" s="89">
        <f>+IF(F38="",'Costos de Conservación'!$G$46,'Costos de Conservación'!$G$46*0.4)</f>
        <v>6660.3004561638536</v>
      </c>
      <c r="H38" s="104" t="str">
        <f t="shared" si="6"/>
        <v/>
      </c>
      <c r="I38" s="161">
        <f>+'Alternativa Base'!C15</f>
        <v>11535.720144223615</v>
      </c>
      <c r="J38" s="224">
        <f t="shared" si="7"/>
        <v>0</v>
      </c>
      <c r="L38" s="244">
        <f>+'Alternativa Base'!D15</f>
        <v>2.75</v>
      </c>
      <c r="N38" s="223"/>
      <c r="O38" s="94"/>
      <c r="P38" s="223"/>
      <c r="Q38" s="94"/>
      <c r="R38" s="94"/>
    </row>
    <row r="39" spans="2:18">
      <c r="B39" s="6">
        <v>2027</v>
      </c>
      <c r="C39" s="89">
        <f t="shared" si="4"/>
        <v>11535.720144223615</v>
      </c>
      <c r="D39" s="247">
        <f t="shared" si="8"/>
        <v>2.4499999999999997</v>
      </c>
      <c r="E39" s="245">
        <f t="shared" si="5"/>
        <v>2.5</v>
      </c>
      <c r="F39" s="89"/>
      <c r="G39" s="89">
        <f>+IF(F39="",'Costos de Conservación'!$G$46,'Costos de Conservación'!$G$46*0.4)</f>
        <v>6660.3004561638536</v>
      </c>
      <c r="H39" s="104" t="str">
        <f t="shared" si="6"/>
        <v/>
      </c>
      <c r="I39" s="161">
        <f>+'Alternativa Base'!C16</f>
        <v>11535.720144223615</v>
      </c>
      <c r="J39" s="224">
        <f t="shared" si="7"/>
        <v>0</v>
      </c>
      <c r="L39" s="244">
        <f>+'Alternativa Base'!D16</f>
        <v>3</v>
      </c>
      <c r="N39" s="223"/>
      <c r="O39" s="94"/>
      <c r="P39" s="223"/>
      <c r="Q39" s="94"/>
      <c r="R39" s="94"/>
    </row>
    <row r="40" spans="2:18">
      <c r="B40" s="6">
        <v>2028</v>
      </c>
      <c r="C40" s="89">
        <f t="shared" si="4"/>
        <v>11535.720144223615</v>
      </c>
      <c r="D40" s="247">
        <f t="shared" si="8"/>
        <v>2.5999999999999996</v>
      </c>
      <c r="E40" s="245">
        <f t="shared" si="5"/>
        <v>2.6</v>
      </c>
      <c r="F40" s="89"/>
      <c r="G40" s="89">
        <f>+IF(F40="",'Costos de Conservación'!$G$46,'Costos de Conservación'!$G$46*0.4)</f>
        <v>6660.3004561638536</v>
      </c>
      <c r="H40" s="104" t="str">
        <f t="shared" si="6"/>
        <v/>
      </c>
      <c r="I40" s="161">
        <f>+'Alternativa Base'!C17</f>
        <v>11535.720144223615</v>
      </c>
      <c r="J40" s="224">
        <f t="shared" si="7"/>
        <v>0</v>
      </c>
      <c r="L40" s="244">
        <f>+'Alternativa Base'!D17</f>
        <v>3.35</v>
      </c>
      <c r="N40" s="223"/>
      <c r="O40" s="94"/>
      <c r="P40" s="223"/>
      <c r="Q40" s="94"/>
      <c r="R40" s="94"/>
    </row>
    <row r="41" spans="2:18">
      <c r="B41" s="6">
        <v>2029</v>
      </c>
      <c r="C41" s="89">
        <f t="shared" si="4"/>
        <v>11535.720144223615</v>
      </c>
      <c r="D41" s="247">
        <f t="shared" si="8"/>
        <v>2.7499999999999996</v>
      </c>
      <c r="E41" s="245">
        <f t="shared" si="5"/>
        <v>2.8</v>
      </c>
      <c r="F41" s="89"/>
      <c r="G41" s="89">
        <f>+IF(F41="",'Costos de Conservación'!$G$46,'Costos de Conservación'!$G$46*0.4)</f>
        <v>6660.3004561638536</v>
      </c>
      <c r="H41" s="104" t="str">
        <f t="shared" si="6"/>
        <v/>
      </c>
      <c r="I41" s="255">
        <f>+'Alternativa Base'!C18</f>
        <v>360976.54683488567</v>
      </c>
      <c r="J41" s="224">
        <f t="shared" si="7"/>
        <v>349440.82669066207</v>
      </c>
      <c r="L41" s="257">
        <f>+'Alternativa Base'!D18</f>
        <v>2.2000000000000002</v>
      </c>
      <c r="N41" s="223"/>
      <c r="O41" s="94"/>
      <c r="P41" s="223"/>
      <c r="Q41" s="94"/>
      <c r="R41" s="94"/>
    </row>
    <row r="42" spans="2:18">
      <c r="B42" s="6">
        <v>2030</v>
      </c>
      <c r="C42" s="89">
        <f t="shared" si="4"/>
        <v>11535.720144223615</v>
      </c>
      <c r="D42" s="247">
        <f t="shared" si="8"/>
        <v>2.8999999999999995</v>
      </c>
      <c r="E42" s="245">
        <f t="shared" si="5"/>
        <v>2.9</v>
      </c>
      <c r="F42" s="89"/>
      <c r="G42" s="89">
        <f>+IF(F42="",'Costos de Conservación'!$G$46,'Costos de Conservación'!$G$46*0.4)</f>
        <v>6660.3004561638536</v>
      </c>
      <c r="H42" s="104" t="str">
        <f t="shared" si="6"/>
        <v/>
      </c>
      <c r="I42" s="161">
        <f>+'Alternativa Base'!C19</f>
        <v>11535.720144223615</v>
      </c>
      <c r="J42" s="224">
        <f t="shared" si="7"/>
        <v>0</v>
      </c>
      <c r="L42" s="244">
        <f>+'Alternativa Base'!D19</f>
        <v>2.4500000000000002</v>
      </c>
      <c r="N42" s="223"/>
      <c r="O42" s="94"/>
      <c r="P42" s="223"/>
      <c r="Q42" s="94"/>
      <c r="R42" s="94"/>
    </row>
    <row r="43" spans="2:18">
      <c r="B43" s="6">
        <v>2031</v>
      </c>
      <c r="C43" s="89">
        <f t="shared" si="4"/>
        <v>11535.720144223615</v>
      </c>
      <c r="D43" s="247">
        <f t="shared" si="8"/>
        <v>3.0499999999999994</v>
      </c>
      <c r="E43" s="245">
        <f t="shared" si="5"/>
        <v>3.1</v>
      </c>
      <c r="F43" s="89"/>
      <c r="G43" s="89">
        <f>+IF(F43="",'Costos de Conservación'!$G$46,'Costos de Conservación'!$G$46*0.4)</f>
        <v>6660.3004561638536</v>
      </c>
      <c r="H43" s="104" t="str">
        <f t="shared" si="6"/>
        <v/>
      </c>
      <c r="I43" s="161">
        <f>+'Alternativa Base'!C20</f>
        <v>11535.720144223615</v>
      </c>
      <c r="J43" s="224">
        <f t="shared" si="7"/>
        <v>0</v>
      </c>
      <c r="L43" s="244">
        <f>+'Alternativa Base'!D20</f>
        <v>2.7</v>
      </c>
      <c r="N43" s="223"/>
      <c r="O43" s="94"/>
      <c r="P43" s="223"/>
      <c r="Q43" s="94"/>
      <c r="R43" s="94"/>
    </row>
    <row r="44" spans="2:18">
      <c r="B44" s="6">
        <v>2032</v>
      </c>
      <c r="C44" s="89">
        <f t="shared" si="4"/>
        <v>11535.720144223615</v>
      </c>
      <c r="D44" s="247">
        <f t="shared" si="8"/>
        <v>3.3499999999999992</v>
      </c>
      <c r="E44" s="245">
        <f t="shared" si="5"/>
        <v>3.4</v>
      </c>
      <c r="F44" s="89"/>
      <c r="G44" s="89">
        <f>+IF(F44="",'Costos de Conservación'!$G$46,'Costos de Conservación'!$G$46*0.4)</f>
        <v>6660.3004561638536</v>
      </c>
      <c r="H44" s="104" t="str">
        <f t="shared" si="6"/>
        <v/>
      </c>
      <c r="I44" s="161">
        <f>+'Alternativa Base'!C21</f>
        <v>11535.720144223615</v>
      </c>
      <c r="J44" s="224">
        <f t="shared" si="7"/>
        <v>0</v>
      </c>
      <c r="L44" s="244">
        <f>+'Alternativa Base'!D21</f>
        <v>2.95</v>
      </c>
      <c r="N44" s="223"/>
      <c r="O44" s="94"/>
      <c r="P44" s="223"/>
      <c r="Q44" s="94"/>
      <c r="R44" s="94"/>
    </row>
    <row r="45" spans="2:18">
      <c r="B45" s="46">
        <v>2033</v>
      </c>
      <c r="C45" s="105">
        <f>+SUM(F45:H45)*$D$27</f>
        <v>360976.54683488567</v>
      </c>
      <c r="D45" s="253">
        <v>2.2000000000000002</v>
      </c>
      <c r="E45" s="254">
        <f t="shared" si="5"/>
        <v>2.2000000000000002</v>
      </c>
      <c r="F45" s="105">
        <f>+'Costos de Conservación'!$J$9</f>
        <v>199757.72719488418</v>
      </c>
      <c r="G45" s="105">
        <f>+IF(F45="",'Costos de Conservación'!$G$46,'Costos de Conservación'!$G$46*0.4)</f>
        <v>2664.1201824655418</v>
      </c>
      <c r="H45" s="106">
        <f t="shared" si="6"/>
        <v>5992.731815846525</v>
      </c>
      <c r="I45" s="161">
        <f>+'Alternativa Base'!C22</f>
        <v>11535.720144223615</v>
      </c>
      <c r="J45" s="224">
        <f t="shared" si="7"/>
        <v>-349440.82669066207</v>
      </c>
      <c r="L45" s="244">
        <f>+'Alternativa Base'!D22</f>
        <v>3.2</v>
      </c>
      <c r="N45" s="223"/>
      <c r="O45" s="94"/>
      <c r="P45" s="223"/>
      <c r="Q45" s="94"/>
      <c r="R45" s="94"/>
    </row>
    <row r="46" spans="2:18">
      <c r="B46" s="6">
        <v>2034</v>
      </c>
      <c r="C46" s="89">
        <f>+SUM(F46:H46)*$D$27</f>
        <v>11535.720144223615</v>
      </c>
      <c r="D46" s="247">
        <f t="shared" si="8"/>
        <v>2.35</v>
      </c>
      <c r="E46" s="245">
        <f t="shared" si="5"/>
        <v>2.4</v>
      </c>
      <c r="F46" s="2"/>
      <c r="G46" s="89">
        <f>+IF(F46="",'Costos de Conservación'!$G$46,'Costos de Conservación'!$G$46*0.4)</f>
        <v>6660.3004561638536</v>
      </c>
      <c r="H46" s="104" t="str">
        <f t="shared" si="6"/>
        <v/>
      </c>
      <c r="I46" s="255">
        <f>+'Alternativa Base'!C23</f>
        <v>360976.54683488567</v>
      </c>
      <c r="J46" s="224">
        <f t="shared" si="7"/>
        <v>349440.82669066207</v>
      </c>
      <c r="L46" s="257">
        <f>+'Alternativa Base'!D23</f>
        <v>2.2000000000000002</v>
      </c>
      <c r="N46" s="223"/>
      <c r="O46" s="94"/>
      <c r="P46" s="223"/>
      <c r="Q46" s="94"/>
      <c r="R46" s="94"/>
    </row>
    <row r="47" spans="2:18">
      <c r="B47" s="6">
        <v>2035</v>
      </c>
      <c r="C47" s="89">
        <f t="shared" si="4"/>
        <v>11535.720144223615</v>
      </c>
      <c r="D47" s="247">
        <f t="shared" si="8"/>
        <v>2.5</v>
      </c>
      <c r="E47" s="245">
        <f t="shared" si="5"/>
        <v>2.5</v>
      </c>
      <c r="F47" s="2"/>
      <c r="G47" s="89">
        <f>+IF(F47="",'Costos de Conservación'!$G$46,'Costos de Conservación'!$G$46*0.4)</f>
        <v>6660.3004561638536</v>
      </c>
      <c r="H47" s="104" t="str">
        <f t="shared" si="6"/>
        <v/>
      </c>
      <c r="I47" s="161">
        <f>+'Alternativa Base'!C24</f>
        <v>11535.720144223615</v>
      </c>
      <c r="J47" s="224">
        <f t="shared" si="7"/>
        <v>0</v>
      </c>
      <c r="L47" s="244">
        <f>+'Alternativa Base'!D24</f>
        <v>2.4500000000000002</v>
      </c>
      <c r="N47" s="223"/>
      <c r="O47" s="94"/>
      <c r="P47" s="223"/>
      <c r="Q47" s="94"/>
      <c r="R47" s="94"/>
    </row>
    <row r="48" spans="2:18">
      <c r="B48" s="6">
        <v>2036</v>
      </c>
      <c r="C48" s="89">
        <f t="shared" si="4"/>
        <v>11535.720144223615</v>
      </c>
      <c r="D48" s="247">
        <f t="shared" si="8"/>
        <v>2.65</v>
      </c>
      <c r="E48" s="245">
        <f t="shared" si="5"/>
        <v>2.7</v>
      </c>
      <c r="F48" s="89"/>
      <c r="G48" s="89">
        <f>+IF(F48="",'Costos de Conservación'!$G$46,'Costos de Conservación'!$G$46*0.4)</f>
        <v>6660.3004561638536</v>
      </c>
      <c r="H48" s="104" t="str">
        <f t="shared" si="6"/>
        <v/>
      </c>
      <c r="I48" s="161">
        <f>+'Alternativa Base'!C25</f>
        <v>11535.720144223615</v>
      </c>
      <c r="J48" s="224">
        <f t="shared" si="7"/>
        <v>0</v>
      </c>
      <c r="L48" s="244">
        <f>+'Alternativa Base'!D25</f>
        <v>2.7</v>
      </c>
      <c r="N48" s="223"/>
      <c r="O48" s="94"/>
      <c r="P48" s="223"/>
      <c r="Q48" s="94"/>
      <c r="R48" s="94"/>
    </row>
    <row r="49" spans="2:18">
      <c r="B49" s="6">
        <v>2037</v>
      </c>
      <c r="C49" s="89">
        <f t="shared" si="4"/>
        <v>11535.720144223615</v>
      </c>
      <c r="D49" s="247">
        <f t="shared" si="8"/>
        <v>2.8</v>
      </c>
      <c r="E49" s="245">
        <f t="shared" si="5"/>
        <v>2.8</v>
      </c>
      <c r="F49" s="89"/>
      <c r="G49" s="89">
        <f>+IF(F49="",'Costos de Conservación'!$G$46,'Costos de Conservación'!$G$46*0.4)</f>
        <v>6660.3004561638536</v>
      </c>
      <c r="H49" s="104" t="str">
        <f t="shared" si="6"/>
        <v/>
      </c>
      <c r="I49" s="161">
        <f>+'Alternativa Base'!C26</f>
        <v>11535.720144223615</v>
      </c>
      <c r="J49" s="224">
        <f t="shared" si="7"/>
        <v>0</v>
      </c>
      <c r="L49" s="244">
        <f>+'Alternativa Base'!D26</f>
        <v>2.95</v>
      </c>
      <c r="N49" s="223"/>
      <c r="O49" s="94"/>
      <c r="P49" s="223"/>
      <c r="Q49" s="94"/>
      <c r="R49" s="94"/>
    </row>
    <row r="50" spans="2:18">
      <c r="B50" s="6">
        <v>2038</v>
      </c>
      <c r="C50" s="89">
        <f t="shared" si="4"/>
        <v>11535.720144223615</v>
      </c>
      <c r="D50" s="247">
        <f t="shared" si="8"/>
        <v>2.9499999999999997</v>
      </c>
      <c r="E50" s="245">
        <f t="shared" si="5"/>
        <v>3</v>
      </c>
      <c r="F50" s="2"/>
      <c r="G50" s="89">
        <f>+IF(F50="",'Costos de Conservación'!$G$46,'Costos de Conservación'!$G$46*0.4)</f>
        <v>6660.3004561638536</v>
      </c>
      <c r="H50" s="104" t="str">
        <f t="shared" si="6"/>
        <v/>
      </c>
      <c r="I50" s="161">
        <f>+'Alternativa Base'!C27</f>
        <v>11535.720144223615</v>
      </c>
      <c r="J50" s="224">
        <f t="shared" si="7"/>
        <v>0</v>
      </c>
      <c r="L50" s="244">
        <f>+'Alternativa Base'!D27</f>
        <v>3.2</v>
      </c>
      <c r="N50" s="223"/>
      <c r="O50" s="94"/>
      <c r="P50" s="223"/>
      <c r="Q50" s="94"/>
      <c r="R50" s="94"/>
    </row>
    <row r="51" spans="2:18" ht="15" thickBot="1">
      <c r="B51" s="8">
        <v>2039</v>
      </c>
      <c r="C51" s="91">
        <f t="shared" si="4"/>
        <v>11535.720144223615</v>
      </c>
      <c r="D51" s="248">
        <f t="shared" si="8"/>
        <v>3.0999999999999996</v>
      </c>
      <c r="E51" s="246">
        <f t="shared" si="5"/>
        <v>3.1</v>
      </c>
      <c r="F51" s="9"/>
      <c r="G51" s="91">
        <f>+IF(F51="",'Costos de Conservación'!$G$46,'Costos de Conservación'!$G$46*0.4)</f>
        <v>6660.3004561638536</v>
      </c>
      <c r="H51" s="93" t="str">
        <f t="shared" si="6"/>
        <v/>
      </c>
      <c r="I51" s="256">
        <f>+'Alternativa Base'!C28</f>
        <v>360976.54683488567</v>
      </c>
      <c r="J51" s="225">
        <f t="shared" si="7"/>
        <v>349440.82669066207</v>
      </c>
      <c r="L51" s="258">
        <f>+'Alternativa Base'!D28</f>
        <v>2.2000000000000002</v>
      </c>
      <c r="N51" s="223"/>
      <c r="O51" s="94"/>
      <c r="P51" s="223"/>
      <c r="Q51" s="94"/>
      <c r="R51" s="94"/>
    </row>
    <row r="52" spans="2:18" ht="15" thickBot="1"/>
    <row r="53" spans="2:18" ht="15" thickBot="1">
      <c r="B53" s="269" t="s">
        <v>73</v>
      </c>
      <c r="C53" s="270"/>
    </row>
    <row r="54" spans="2:18">
      <c r="B54" s="35" t="s">
        <v>74</v>
      </c>
      <c r="C54" s="36" t="s">
        <v>75</v>
      </c>
    </row>
    <row r="55" spans="2:18">
      <c r="B55" s="37">
        <v>3</v>
      </c>
      <c r="C55" s="38">
        <v>0.15</v>
      </c>
    </row>
    <row r="56" spans="2:18">
      <c r="B56" s="39" t="s">
        <v>76</v>
      </c>
      <c r="C56" s="43">
        <v>0.3</v>
      </c>
    </row>
    <row r="57" spans="2:18">
      <c r="B57" s="39" t="s">
        <v>77</v>
      </c>
      <c r="C57" s="43">
        <v>0.5</v>
      </c>
    </row>
    <row r="58" spans="2:18" ht="15" thickBot="1">
      <c r="B58" s="42" t="s">
        <v>78</v>
      </c>
      <c r="C58" s="44">
        <v>0.9</v>
      </c>
    </row>
    <row r="62" spans="2:18">
      <c r="B62" s="250"/>
      <c r="C62" s="250"/>
      <c r="D62" s="250"/>
    </row>
    <row r="63" spans="2:18">
      <c r="C63" s="249"/>
      <c r="D63" s="94"/>
      <c r="E63" s="249"/>
      <c r="F63" s="94"/>
      <c r="G63" s="94"/>
    </row>
    <row r="64" spans="2:18">
      <c r="C64" s="249"/>
      <c r="D64" s="94"/>
      <c r="E64" s="249"/>
      <c r="F64" s="94"/>
      <c r="G64" s="94"/>
    </row>
    <row r="65" spans="3:7">
      <c r="C65" s="249"/>
      <c r="D65" s="94"/>
      <c r="E65" s="249"/>
      <c r="F65" s="94"/>
      <c r="G65" s="94"/>
    </row>
    <row r="66" spans="3:7">
      <c r="C66" s="249"/>
      <c r="D66" s="94"/>
      <c r="E66" s="249"/>
      <c r="F66" s="94"/>
      <c r="G66" s="94"/>
    </row>
    <row r="67" spans="3:7">
      <c r="C67" s="249"/>
      <c r="D67" s="94"/>
      <c r="E67" s="249"/>
      <c r="F67" s="94"/>
      <c r="G67" s="94"/>
    </row>
    <row r="68" spans="3:7">
      <c r="C68" s="249"/>
      <c r="D68" s="94"/>
      <c r="E68" s="249"/>
      <c r="F68" s="94"/>
      <c r="G68" s="94"/>
    </row>
    <row r="69" spans="3:7">
      <c r="C69" s="249"/>
      <c r="D69" s="94"/>
      <c r="E69" s="249"/>
      <c r="F69" s="94"/>
      <c r="G69" s="94"/>
    </row>
    <row r="70" spans="3:7">
      <c r="C70" s="249"/>
      <c r="D70" s="94"/>
      <c r="E70" s="249"/>
      <c r="F70" s="94"/>
      <c r="G70" s="94"/>
    </row>
    <row r="71" spans="3:7">
      <c r="C71" s="249"/>
      <c r="D71" s="94"/>
      <c r="E71" s="249"/>
      <c r="F71" s="94"/>
      <c r="G71" s="94"/>
    </row>
    <row r="72" spans="3:7">
      <c r="C72" s="249"/>
      <c r="D72" s="94"/>
      <c r="E72" s="249"/>
      <c r="F72" s="94"/>
      <c r="G72" s="94"/>
    </row>
    <row r="73" spans="3:7">
      <c r="C73" s="249"/>
      <c r="D73" s="94"/>
      <c r="E73" s="249"/>
      <c r="F73" s="94"/>
      <c r="G73" s="94"/>
    </row>
    <row r="74" spans="3:7">
      <c r="C74" s="249"/>
      <c r="D74" s="94"/>
      <c r="E74" s="249"/>
      <c r="F74" s="94"/>
      <c r="G74" s="94"/>
    </row>
    <row r="75" spans="3:7">
      <c r="C75" s="249"/>
      <c r="D75" s="94"/>
      <c r="E75" s="249"/>
      <c r="F75" s="94"/>
      <c r="G75" s="94"/>
    </row>
    <row r="76" spans="3:7">
      <c r="C76" s="249"/>
      <c r="D76" s="94"/>
      <c r="E76" s="249"/>
      <c r="F76" s="94"/>
      <c r="G76" s="94"/>
    </row>
    <row r="77" spans="3:7">
      <c r="C77" s="249"/>
      <c r="D77" s="94"/>
      <c r="E77" s="249"/>
      <c r="F77" s="94"/>
      <c r="G77" s="94"/>
    </row>
    <row r="78" spans="3:7">
      <c r="C78" s="249"/>
      <c r="D78" s="94"/>
      <c r="E78" s="249"/>
      <c r="F78" s="94"/>
      <c r="G78" s="94"/>
    </row>
    <row r="79" spans="3:7">
      <c r="C79" s="249"/>
      <c r="D79" s="94"/>
      <c r="E79" s="249"/>
      <c r="F79" s="94"/>
      <c r="G79" s="94"/>
    </row>
    <row r="80" spans="3:7">
      <c r="C80" s="249"/>
      <c r="D80" s="94"/>
      <c r="E80" s="249"/>
      <c r="F80" s="94"/>
      <c r="G80" s="94"/>
    </row>
    <row r="81" spans="3:7">
      <c r="C81" s="249"/>
      <c r="D81" s="94"/>
      <c r="E81" s="249"/>
      <c r="F81" s="94"/>
      <c r="G81" s="94"/>
    </row>
    <row r="82" spans="3:7">
      <c r="C82" s="249"/>
      <c r="D82" s="94"/>
      <c r="E82" s="249"/>
      <c r="F82" s="94"/>
      <c r="G82" s="94"/>
    </row>
  </sheetData>
  <mergeCells count="6">
    <mergeCell ref="N2:S2"/>
    <mergeCell ref="J30:J31"/>
    <mergeCell ref="C2:G2"/>
    <mergeCell ref="B30:H30"/>
    <mergeCell ref="B53:C53"/>
    <mergeCell ref="H2:M2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zoomScaleNormal="100" workbookViewId="0">
      <selection activeCell="C100" sqref="C100"/>
    </sheetView>
  </sheetViews>
  <sheetFormatPr baseColWidth="10" defaultColWidth="9.109375" defaultRowHeight="14.4"/>
  <cols>
    <col min="3" max="3" width="24.6640625" bestFit="1" customWidth="1"/>
    <col min="4" max="4" width="23" bestFit="1" customWidth="1"/>
    <col min="5" max="5" width="24.6640625" bestFit="1" customWidth="1"/>
    <col min="6" max="6" width="23" bestFit="1" customWidth="1"/>
    <col min="7" max="7" width="24.6640625" bestFit="1" customWidth="1"/>
    <col min="8" max="8" width="23" bestFit="1" customWidth="1"/>
    <col min="9" max="9" width="8.88671875" customWidth="1"/>
    <col min="10" max="10" width="14.6640625" bestFit="1" customWidth="1"/>
  </cols>
  <sheetData>
    <row r="1" spans="2:10" ht="15.6">
      <c r="B1" s="291" t="s">
        <v>116</v>
      </c>
      <c r="C1" s="291"/>
      <c r="D1" s="291"/>
      <c r="E1" s="291"/>
      <c r="F1" s="291"/>
      <c r="G1" s="291"/>
      <c r="H1" s="291"/>
    </row>
    <row r="2" spans="2:10" ht="15" thickBot="1"/>
    <row r="3" spans="2:10" ht="15" thickBot="1">
      <c r="C3" s="289" t="s">
        <v>70</v>
      </c>
      <c r="D3" s="290"/>
      <c r="E3" s="289" t="s">
        <v>100</v>
      </c>
      <c r="F3" s="290"/>
      <c r="G3" s="289" t="s">
        <v>101</v>
      </c>
      <c r="H3" s="290"/>
    </row>
    <row r="4" spans="2:10">
      <c r="B4" s="125" t="s">
        <v>55</v>
      </c>
      <c r="C4" s="121" t="s">
        <v>102</v>
      </c>
      <c r="D4" s="122" t="s">
        <v>103</v>
      </c>
      <c r="E4" s="121" t="s">
        <v>102</v>
      </c>
      <c r="F4" s="122" t="s">
        <v>103</v>
      </c>
      <c r="G4" s="121" t="s">
        <v>102</v>
      </c>
      <c r="H4" s="122" t="s">
        <v>103</v>
      </c>
    </row>
    <row r="5" spans="2:10">
      <c r="B5" s="126">
        <v>2019</v>
      </c>
      <c r="C5" s="123"/>
      <c r="D5" s="124"/>
      <c r="E5" s="115">
        <f>+'Alternativa I'!C6</f>
        <v>2457562.2924709879</v>
      </c>
      <c r="F5" s="104">
        <f>+'Alternativa I'!S6</f>
        <v>0</v>
      </c>
      <c r="G5" s="115">
        <f>+'Alternativa II'!C6</f>
        <v>2567416.8460774082</v>
      </c>
      <c r="H5" s="104">
        <f>+'Alternativa II'!S6</f>
        <v>0</v>
      </c>
    </row>
    <row r="6" spans="2:10">
      <c r="B6" s="127">
        <v>2020</v>
      </c>
      <c r="C6" s="115">
        <f>+'Alternativa Base'!C9</f>
        <v>11535.720144223615</v>
      </c>
      <c r="D6" s="104">
        <f>+'Alternativa Base'!S9</f>
        <v>1016038.0548999942</v>
      </c>
      <c r="E6" s="115">
        <f>+'Alternativa I'!C7</f>
        <v>15978.181907200516</v>
      </c>
      <c r="F6" s="104">
        <f>+'Alternativa I'!S7</f>
        <v>939789.07500772248</v>
      </c>
      <c r="G6" s="115">
        <f>+'Alternativa II'!C7</f>
        <v>22550.04250534689</v>
      </c>
      <c r="H6" s="104">
        <f>+'Alternativa II'!S7</f>
        <v>942880.66919054941</v>
      </c>
    </row>
    <row r="7" spans="2:10">
      <c r="B7" s="127">
        <v>2021</v>
      </c>
      <c r="C7" s="115">
        <f>+'Alternativa Base'!C10</f>
        <v>11535.720144223615</v>
      </c>
      <c r="D7" s="104">
        <f>+'Alternativa Base'!S10</f>
        <v>1101909.209530069</v>
      </c>
      <c r="E7" s="115">
        <f>+'Alternativa I'!C8</f>
        <v>15978.181907200516</v>
      </c>
      <c r="F7" s="104">
        <f>+'Alternativa I'!S8</f>
        <v>1016748.7680864374</v>
      </c>
      <c r="G7" s="115">
        <f>+'Alternativa II'!C8</f>
        <v>22550.04250534689</v>
      </c>
      <c r="H7" s="104">
        <f>+'Alternativa II'!S8</f>
        <v>1020344.5013558388</v>
      </c>
    </row>
    <row r="8" spans="2:10">
      <c r="B8" s="127">
        <v>2022</v>
      </c>
      <c r="C8" s="115">
        <f>+'Alternativa Base'!C11</f>
        <v>11535.720144223615</v>
      </c>
      <c r="D8" s="104">
        <f>+'Alternativa Base'!S11</f>
        <v>1194482.6264720662</v>
      </c>
      <c r="E8" s="115">
        <f>+'Alternativa I'!C9</f>
        <v>15978.181907200516</v>
      </c>
      <c r="F8" s="104">
        <f>+'Alternativa I'!S9</f>
        <v>1097616.646596797</v>
      </c>
      <c r="G8" s="115">
        <f>+'Alternativa II'!C9</f>
        <v>22550.04250534689</v>
      </c>
      <c r="H8" s="104">
        <f>+'Alternativa II'!S9</f>
        <v>1101687.6586001925</v>
      </c>
    </row>
    <row r="9" spans="2:10">
      <c r="B9" s="127">
        <v>2023</v>
      </c>
      <c r="C9" s="115">
        <f>+'Alternativa Base'!C12</f>
        <v>360976.54683488567</v>
      </c>
      <c r="D9" s="104">
        <f>+'Alternativa Base'!S12</f>
        <v>1275519.5843707512</v>
      </c>
      <c r="E9" s="115">
        <f>+'Alternativa I'!C10</f>
        <v>15978.181907200516</v>
      </c>
      <c r="F9" s="104">
        <f>+'Alternativa I'!S10</f>
        <v>1183330.1726216096</v>
      </c>
      <c r="G9" s="115">
        <f>+'Alternativa II'!C10</f>
        <v>22550.04250534689</v>
      </c>
      <c r="H9" s="104">
        <f>+'Alternativa II'!S10</f>
        <v>1188764.0435473844</v>
      </c>
    </row>
    <row r="10" spans="2:10">
      <c r="B10" s="127">
        <v>2024</v>
      </c>
      <c r="C10" s="115">
        <f>+'Alternativa Base'!C13</f>
        <v>11535.720144223615</v>
      </c>
      <c r="D10" s="104">
        <f>+'Alternativa Base'!S13</f>
        <v>1376342.8641124265</v>
      </c>
      <c r="E10" s="115">
        <f>+'Alternativa I'!C11</f>
        <v>15978.181907200516</v>
      </c>
      <c r="F10" s="104">
        <f>+'Alternativa I'!S11</f>
        <v>1275824.3008004404</v>
      </c>
      <c r="G10" s="115">
        <f>+'Alternativa II'!C11</f>
        <v>22550.04250534689</v>
      </c>
      <c r="H10" s="104">
        <f>+'Alternativa II'!S11</f>
        <v>1282978.7118533805</v>
      </c>
    </row>
    <row r="11" spans="2:10">
      <c r="B11" s="127">
        <v>2025</v>
      </c>
      <c r="C11" s="115">
        <f>+'Alternativa Base'!C14</f>
        <v>11535.720144223615</v>
      </c>
      <c r="D11" s="104">
        <f>+'Alternativa Base'!S14</f>
        <v>1485678.2986706248</v>
      </c>
      <c r="E11" s="115">
        <f>+'Alternativa I'!C12</f>
        <v>15978.181907200516</v>
      </c>
      <c r="F11" s="104">
        <f>+'Alternativa I'!S12</f>
        <v>1377040.6615998053</v>
      </c>
      <c r="G11" s="115">
        <f>+'Alternativa II'!C12</f>
        <v>22550.04250534689</v>
      </c>
      <c r="H11" s="104">
        <f>+'Alternativa II'!S12</f>
        <v>1389008.8342451544</v>
      </c>
    </row>
    <row r="12" spans="2:10">
      <c r="B12" s="127">
        <v>2026</v>
      </c>
      <c r="C12" s="115">
        <f>+'Alternativa Base'!C15</f>
        <v>11535.720144223615</v>
      </c>
      <c r="D12" s="104">
        <f>+'Alternativa Base'!S15</f>
        <v>1605856.7324124074</v>
      </c>
      <c r="E12" s="115">
        <f>+'Alternativa I'!C13</f>
        <v>15978.181907200516</v>
      </c>
      <c r="F12" s="104">
        <f>+'Alternativa I'!S13</f>
        <v>1486403.768264544</v>
      </c>
      <c r="G12" s="115">
        <f>+'Alternativa II'!C13</f>
        <v>22550.04250534689</v>
      </c>
      <c r="H12" s="104">
        <f>+'Alternativa II'!S13</f>
        <v>1506957.3783109232</v>
      </c>
    </row>
    <row r="13" spans="2:10">
      <c r="B13" s="127">
        <v>2027</v>
      </c>
      <c r="C13" s="115">
        <f>+'Alternativa Base'!C16</f>
        <v>11535.720144223615</v>
      </c>
      <c r="D13" s="104">
        <f>+'Alternativa Base'!S16</f>
        <v>1737508.6506582927</v>
      </c>
      <c r="E13" s="115">
        <f>+'Alternativa I'!C14</f>
        <v>15978.181907200516</v>
      </c>
      <c r="F13" s="104">
        <f>+'Alternativa I'!S14</f>
        <v>1606651.1463818802</v>
      </c>
      <c r="G13" s="115">
        <f>+'Alternativa II'!C14</f>
        <v>22550.04250534689</v>
      </c>
      <c r="H13" s="104">
        <f>+'Alternativa II'!S14</f>
        <v>1641442.3356950474</v>
      </c>
    </row>
    <row r="14" spans="2:10">
      <c r="B14" s="127">
        <v>2028</v>
      </c>
      <c r="C14" s="115">
        <f>+'Alternativa Base'!C17</f>
        <v>11535.720144223615</v>
      </c>
      <c r="D14" s="104">
        <f>+'Alternativa Base'!S17</f>
        <v>1893114.9058661147</v>
      </c>
      <c r="E14" s="115">
        <f>+'Alternativa I'!C15</f>
        <v>15978.181907200516</v>
      </c>
      <c r="F14" s="104">
        <f>+'Alternativa I'!S15</f>
        <v>1736328.0965744762</v>
      </c>
      <c r="G14" s="115">
        <f>+'Alternativa II'!C15</f>
        <v>22550.04250534689</v>
      </c>
      <c r="H14" s="104">
        <f>+'Alternativa II'!S15</f>
        <v>1783088.9378994927</v>
      </c>
    </row>
    <row r="15" spans="2:10">
      <c r="B15" s="127">
        <v>2029</v>
      </c>
      <c r="C15" s="115">
        <f>+'Alternativa Base'!C18</f>
        <v>360976.54683488567</v>
      </c>
      <c r="D15" s="104">
        <f>+'Alternativa Base'!S18</f>
        <v>2019053.6521948739</v>
      </c>
      <c r="E15" s="115">
        <f>+'Alternativa I'!C16</f>
        <v>15978.181907200516</v>
      </c>
      <c r="F15" s="104">
        <f>+'Alternativa I'!S16</f>
        <v>1881121.2244964833</v>
      </c>
      <c r="G15" s="115">
        <f>+'Alternativa II'!C16</f>
        <v>235350.68980739036</v>
      </c>
      <c r="H15" s="104">
        <f>+'Alternativa II'!S16</f>
        <v>1866275.4342588689</v>
      </c>
      <c r="J15" s="251"/>
    </row>
    <row r="16" spans="2:10">
      <c r="B16" s="127">
        <v>2030</v>
      </c>
      <c r="C16" s="115">
        <f>+'Alternativa Base'!C19</f>
        <v>11535.720144223615</v>
      </c>
      <c r="D16" s="104">
        <f>+'Alternativa Base'!S19</f>
        <v>2184804.8456530063</v>
      </c>
      <c r="E16" s="115">
        <f>+'Alternativa I'!C17</f>
        <v>412748.42930907337</v>
      </c>
      <c r="F16" s="104">
        <f>+'Alternativa I'!S17</f>
        <v>2016889.227729839</v>
      </c>
      <c r="G16" s="115">
        <f>+'Alternativa II'!C17</f>
        <v>22550.04250534689</v>
      </c>
      <c r="H16" s="104">
        <f>+'Alternativa II'!S17</f>
        <v>2018762.7387796249</v>
      </c>
      <c r="J16" s="252"/>
    </row>
    <row r="17" spans="2:10">
      <c r="B17" s="127">
        <v>2031</v>
      </c>
      <c r="C17" s="115">
        <f>+'Alternativa Base'!C20</f>
        <v>11535.720144223615</v>
      </c>
      <c r="D17" s="104">
        <f>+'Alternativa Base'!S20</f>
        <v>2365121.0762771629</v>
      </c>
      <c r="E17" s="115">
        <f>+'Alternativa I'!C18</f>
        <v>15978.181907200516</v>
      </c>
      <c r="F17" s="104">
        <f>+'Alternativa I'!S18</f>
        <v>2182593.8075770251</v>
      </c>
      <c r="G17" s="115">
        <f>+'Alternativa II'!C18</f>
        <v>22550.04250534689</v>
      </c>
      <c r="H17" s="104">
        <f>+'Alternativa II'!S18</f>
        <v>2183725.8674785323</v>
      </c>
      <c r="J17" s="223"/>
    </row>
    <row r="18" spans="2:10">
      <c r="B18" s="127">
        <v>2032</v>
      </c>
      <c r="C18" s="115">
        <f>+'Alternativa Base'!C21</f>
        <v>11535.720144223615</v>
      </c>
      <c r="D18" s="104">
        <f>+'Alternativa Base'!S21</f>
        <v>2565596.1934347302</v>
      </c>
      <c r="E18" s="115">
        <f>+'Alternativa I'!C19</f>
        <v>15978.181907200516</v>
      </c>
      <c r="F18" s="104">
        <f>+'Alternativa I'!S19</f>
        <v>2361899.3320411616</v>
      </c>
      <c r="G18" s="115">
        <f>+'Alternativa II'!C19</f>
        <v>22550.04250534689</v>
      </c>
      <c r="H18" s="104">
        <f>+'Alternativa II'!S19</f>
        <v>2364598.9989948892</v>
      </c>
    </row>
    <row r="19" spans="2:10">
      <c r="B19" s="127">
        <v>2033</v>
      </c>
      <c r="C19" s="115">
        <f>+'Alternativa Base'!C22</f>
        <v>11535.720144223615</v>
      </c>
      <c r="D19" s="104">
        <f>+'Alternativa Base'!S22</f>
        <v>2787508.8523533884</v>
      </c>
      <c r="E19" s="115">
        <f>+'Alternativa I'!C20</f>
        <v>15978.181907200516</v>
      </c>
      <c r="F19" s="104">
        <f>+'Alternativa I'!S20</f>
        <v>2558530.7262952346</v>
      </c>
      <c r="G19" s="115">
        <f>+'Alternativa II'!C20</f>
        <v>22550.04250534689</v>
      </c>
      <c r="H19" s="104">
        <f>+'Alternativa II'!S20</f>
        <v>2560126.3181120157</v>
      </c>
    </row>
    <row r="20" spans="2:10">
      <c r="B20" s="127">
        <v>2034</v>
      </c>
      <c r="C20" s="115">
        <f>+'Alternativa Base'!C23</f>
        <v>360976.54683488567</v>
      </c>
      <c r="D20" s="104">
        <f>+'Alternativa Base'!S23</f>
        <v>2992979.2211318226</v>
      </c>
      <c r="E20" s="115">
        <f>+'Alternativa I'!C21</f>
        <v>15978.181907200516</v>
      </c>
      <c r="F20" s="104">
        <f>+'Alternativa I'!S21</f>
        <v>2771145.0024730349</v>
      </c>
      <c r="G20" s="115">
        <f>+'Alternativa II'!C21</f>
        <v>22550.04250534689</v>
      </c>
      <c r="H20" s="104">
        <f>+'Alternativa II'!S21</f>
        <v>2776046.8740210342</v>
      </c>
    </row>
    <row r="21" spans="2:10">
      <c r="B21" s="127">
        <v>2035</v>
      </c>
      <c r="C21" s="115">
        <f>+'Alternativa Base'!C24</f>
        <v>11535.720144223615</v>
      </c>
      <c r="D21" s="104">
        <f>+'Alternativa Base'!S24</f>
        <v>3244572.2561669988</v>
      </c>
      <c r="E21" s="115">
        <f>+'Alternativa I'!C22</f>
        <v>15978.181907200516</v>
      </c>
      <c r="F21" s="104">
        <f>+'Alternativa I'!S22</f>
        <v>3005962.6603388689</v>
      </c>
      <c r="G21" s="115">
        <f>+'Alternativa II'!C22</f>
        <v>22550.04250534689</v>
      </c>
      <c r="H21" s="104">
        <f>+'Alternativa II'!S22</f>
        <v>3010303.340954551</v>
      </c>
    </row>
    <row r="22" spans="2:10">
      <c r="B22" s="127">
        <v>2036</v>
      </c>
      <c r="C22" s="115">
        <f>+'Alternativa Base'!C25</f>
        <v>11535.720144223615</v>
      </c>
      <c r="D22" s="104">
        <f>+'Alternativa Base'!S25</f>
        <v>3518506.3366208798</v>
      </c>
      <c r="E22" s="115">
        <f>+'Alternativa I'!C23</f>
        <v>15978.181907200516</v>
      </c>
      <c r="F22" s="104">
        <f>+'Alternativa I'!S23</f>
        <v>3260777.2214869615</v>
      </c>
      <c r="G22" s="115">
        <f>+'Alternativa II'!C23</f>
        <v>22550.04250534689</v>
      </c>
      <c r="H22" s="104">
        <f>+'Alternativa II'!S23</f>
        <v>3273819.9765317151</v>
      </c>
    </row>
    <row r="23" spans="2:10">
      <c r="B23" s="127">
        <v>2037</v>
      </c>
      <c r="C23" s="115">
        <f>+'Alternativa Base'!C26</f>
        <v>11535.720144223615</v>
      </c>
      <c r="D23" s="104">
        <f>+'Alternativa Base'!S26</f>
        <v>3823124.8964276877</v>
      </c>
      <c r="E23" s="115">
        <f>+'Alternativa I'!C24</f>
        <v>412748.42930907337</v>
      </c>
      <c r="F23" s="104">
        <f>+'Alternativa I'!S24</f>
        <v>3514008.8281659433</v>
      </c>
      <c r="G23" s="115">
        <f>+'Alternativa II'!C24</f>
        <v>22550.04250534689</v>
      </c>
      <c r="H23" s="104">
        <f>+'Alternativa II'!S24</f>
        <v>3567206.6151726902</v>
      </c>
    </row>
    <row r="24" spans="2:10">
      <c r="B24" s="127">
        <v>2038</v>
      </c>
      <c r="C24" s="115">
        <f>+'Alternativa Base'!C27</f>
        <v>11535.720144223615</v>
      </c>
      <c r="D24" s="104">
        <f>+'Alternativa Base'!S27</f>
        <v>4160444.7236442328</v>
      </c>
      <c r="E24" s="115">
        <f>+'Alternativa I'!C25</f>
        <v>15978.181907200516</v>
      </c>
      <c r="F24" s="104">
        <f>+'Alternativa I'!S25</f>
        <v>3812952.6981358309</v>
      </c>
      <c r="G24" s="115">
        <f>+'Alternativa II'!C25</f>
        <v>22550.04250534689</v>
      </c>
      <c r="H24" s="104">
        <f>+'Alternativa II'!S25</f>
        <v>3901557.8661572039</v>
      </c>
    </row>
    <row r="25" spans="2:10" ht="15" thickBot="1">
      <c r="B25" s="128">
        <v>2039</v>
      </c>
      <c r="C25" s="147">
        <f>+'Alternativa Base'!C28</f>
        <v>360976.54683488567</v>
      </c>
      <c r="D25" s="148">
        <f>+'Alternativa Base'!S28</f>
        <v>4474549.7948972695</v>
      </c>
      <c r="E25" s="147">
        <f>+'Alternativa I'!C26</f>
        <v>15978.181907200516</v>
      </c>
      <c r="F25" s="148">
        <f>+'Alternativa I'!S26</f>
        <v>4136970.5127709638</v>
      </c>
      <c r="G25" s="147">
        <f>+'Alternativa II'!C26</f>
        <v>22550.04250534689</v>
      </c>
      <c r="H25" s="148">
        <f>+'Alternativa II'!S26</f>
        <v>4255637.5735879783</v>
      </c>
    </row>
    <row r="26" spans="2:10" ht="15" thickBot="1">
      <c r="C26" s="149">
        <f>+SUM(C6:C25)</f>
        <v>1628477.7096471207</v>
      </c>
      <c r="D26" s="150">
        <f t="shared" ref="D26:H26" si="0">+SUM(D6:D25)</f>
        <v>46822712.775794804</v>
      </c>
      <c r="E26" s="150">
        <f>+SUM(E5:E25)</f>
        <v>3570666.4254187476</v>
      </c>
      <c r="F26" s="150">
        <f t="shared" si="0"/>
        <v>43222583.877445057</v>
      </c>
      <c r="G26" s="150">
        <f>+SUM(G5:G25)</f>
        <v>3231218.3434863859</v>
      </c>
      <c r="H26" s="151">
        <f t="shared" si="0"/>
        <v>43635214.674747065</v>
      </c>
    </row>
  </sheetData>
  <mergeCells count="4">
    <mergeCell ref="C3:D3"/>
    <mergeCell ref="E3:F3"/>
    <mergeCell ref="G3:H3"/>
    <mergeCell ref="B1:H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F31" workbookViewId="0">
      <selection activeCell="L26" sqref="L26"/>
    </sheetView>
  </sheetViews>
  <sheetFormatPr baseColWidth="10" defaultColWidth="9.109375" defaultRowHeight="14.4"/>
  <cols>
    <col min="3" max="3" width="24.6640625" bestFit="1" customWidth="1"/>
    <col min="4" max="4" width="23" bestFit="1" customWidth="1"/>
    <col min="5" max="5" width="24.6640625" bestFit="1" customWidth="1"/>
    <col min="6" max="6" width="23" bestFit="1" customWidth="1"/>
    <col min="7" max="7" width="13.33203125" bestFit="1" customWidth="1"/>
    <col min="8" max="8" width="19.6640625" bestFit="1" customWidth="1"/>
    <col min="9" max="9" width="17.88671875" bestFit="1" customWidth="1"/>
    <col min="10" max="10" width="17.6640625" bestFit="1" customWidth="1"/>
  </cols>
  <sheetData>
    <row r="1" spans="2:10" ht="15.6">
      <c r="B1" s="291" t="s">
        <v>117</v>
      </c>
      <c r="C1" s="291"/>
      <c r="D1" s="291"/>
      <c r="E1" s="291"/>
      <c r="F1" s="291"/>
      <c r="G1" s="291"/>
      <c r="H1" s="291"/>
      <c r="I1" s="291"/>
      <c r="J1" s="291"/>
    </row>
    <row r="2" spans="2:10" ht="15" thickBot="1"/>
    <row r="3" spans="2:10" ht="15" thickBot="1">
      <c r="C3" s="292" t="s">
        <v>70</v>
      </c>
      <c r="D3" s="293"/>
      <c r="E3" s="292" t="s">
        <v>100</v>
      </c>
      <c r="F3" s="293"/>
    </row>
    <row r="4" spans="2:10" ht="15" thickBot="1">
      <c r="B4" s="137" t="s">
        <v>55</v>
      </c>
      <c r="C4" s="131" t="s">
        <v>102</v>
      </c>
      <c r="D4" s="132" t="s">
        <v>103</v>
      </c>
      <c r="E4" s="131" t="s">
        <v>102</v>
      </c>
      <c r="F4" s="132" t="s">
        <v>103</v>
      </c>
      <c r="G4" s="178" t="s">
        <v>104</v>
      </c>
      <c r="H4" s="179" t="s">
        <v>105</v>
      </c>
      <c r="I4" s="180" t="s">
        <v>106</v>
      </c>
      <c r="J4" s="181" t="s">
        <v>107</v>
      </c>
    </row>
    <row r="5" spans="2:10">
      <c r="B5" s="138">
        <v>2019</v>
      </c>
      <c r="C5" s="141"/>
      <c r="D5" s="142"/>
      <c r="E5" s="144">
        <f>+'Alternativa I'!C6</f>
        <v>2457562.2924709879</v>
      </c>
      <c r="F5" s="175"/>
      <c r="G5" s="169"/>
      <c r="H5" s="170">
        <f>+C5-E5</f>
        <v>-2457562.2924709879</v>
      </c>
      <c r="I5" s="171"/>
      <c r="J5" s="172">
        <f>+I5+G5+H5</f>
        <v>-2457562.2924709879</v>
      </c>
    </row>
    <row r="6" spans="2:10">
      <c r="B6" s="139">
        <v>2020</v>
      </c>
      <c r="C6" s="115">
        <f>+'Alternativa Base'!C9</f>
        <v>11535.720144223615</v>
      </c>
      <c r="D6" s="104">
        <f>+'Alternativa Base'!S9</f>
        <v>1016038.0548999942</v>
      </c>
      <c r="E6" s="115">
        <f>+'Alternativa I'!C7</f>
        <v>15978.181907200516</v>
      </c>
      <c r="F6" s="176">
        <f>+'Alternativa I'!S7</f>
        <v>939789.07500772248</v>
      </c>
      <c r="G6" s="115">
        <f t="shared" ref="G6:G25" si="0">+D6-F6</f>
        <v>76248.979892271687</v>
      </c>
      <c r="H6" s="95">
        <f t="shared" ref="H6:H25" si="1">+C6-E6</f>
        <v>-4442.4617629769018</v>
      </c>
      <c r="I6" s="95">
        <f>+'Beneficios exógenos'!V5+'Beneficios exógenos'!J32</f>
        <v>30909.696456102887</v>
      </c>
      <c r="J6" s="129">
        <f t="shared" ref="J6:J25" si="2">+I6+G6+H6</f>
        <v>102716.21458539767</v>
      </c>
    </row>
    <row r="7" spans="2:10">
      <c r="B7" s="139">
        <v>2021</v>
      </c>
      <c r="C7" s="115">
        <f>+'Alternativa Base'!C10</f>
        <v>11535.720144223615</v>
      </c>
      <c r="D7" s="104">
        <f>+'Alternativa Base'!S10</f>
        <v>1101909.209530069</v>
      </c>
      <c r="E7" s="115">
        <f>+'Alternativa I'!C8</f>
        <v>15978.181907200516</v>
      </c>
      <c r="F7" s="176">
        <f>+'Alternativa I'!S8</f>
        <v>1016748.7680864374</v>
      </c>
      <c r="G7" s="115">
        <f t="shared" si="0"/>
        <v>85160.441443631658</v>
      </c>
      <c r="H7" s="95">
        <f t="shared" si="1"/>
        <v>-4442.4617629769018</v>
      </c>
      <c r="I7" s="95">
        <f>+'Beneficios exógenos'!V6+'Beneficios exógenos'!J33</f>
        <v>33987.949191384774</v>
      </c>
      <c r="J7" s="129">
        <f t="shared" si="2"/>
        <v>114705.92887203953</v>
      </c>
    </row>
    <row r="8" spans="2:10">
      <c r="B8" s="139">
        <v>2022</v>
      </c>
      <c r="C8" s="115">
        <f>+'Alternativa Base'!C11</f>
        <v>11535.720144223615</v>
      </c>
      <c r="D8" s="104">
        <f>+'Alternativa Base'!S11</f>
        <v>1194482.6264720662</v>
      </c>
      <c r="E8" s="115">
        <f>+'Alternativa I'!C9</f>
        <v>15978.181907200516</v>
      </c>
      <c r="F8" s="176">
        <f>+'Alternativa I'!S9</f>
        <v>1097616.646596797</v>
      </c>
      <c r="G8" s="115">
        <f t="shared" si="0"/>
        <v>96865.979875269113</v>
      </c>
      <c r="H8" s="95">
        <f t="shared" si="1"/>
        <v>-4442.4617629769018</v>
      </c>
      <c r="I8" s="95">
        <f>+'Beneficios exógenos'!V7+'Beneficios exógenos'!J34</f>
        <v>38274.538685539446</v>
      </c>
      <c r="J8" s="129">
        <f t="shared" si="2"/>
        <v>130698.05679783165</v>
      </c>
    </row>
    <row r="9" spans="2:10">
      <c r="B9" s="139">
        <v>2023</v>
      </c>
      <c r="C9" s="115">
        <f>+'Alternativa Base'!C12</f>
        <v>360976.54683488567</v>
      </c>
      <c r="D9" s="104">
        <f>+'Alternativa Base'!S12</f>
        <v>1275519.5843707512</v>
      </c>
      <c r="E9" s="115">
        <f>+'Alternativa I'!C10</f>
        <v>15978.181907200516</v>
      </c>
      <c r="F9" s="176">
        <f>+'Alternativa I'!S10</f>
        <v>1183330.1726216096</v>
      </c>
      <c r="G9" s="115">
        <f t="shared" si="0"/>
        <v>92189.411749141524</v>
      </c>
      <c r="H9" s="95">
        <f t="shared" si="1"/>
        <v>344998.36492768512</v>
      </c>
      <c r="I9" s="95">
        <f>+'Beneficios exógenos'!V8+'Beneficios exógenos'!J35</f>
        <v>382173.16886271804</v>
      </c>
      <c r="J9" s="129">
        <f t="shared" si="2"/>
        <v>819360.94553954469</v>
      </c>
    </row>
    <row r="10" spans="2:10">
      <c r="B10" s="139">
        <v>2024</v>
      </c>
      <c r="C10" s="115">
        <f>+'Alternativa Base'!C13</f>
        <v>11535.720144223615</v>
      </c>
      <c r="D10" s="104">
        <f>+'Alternativa Base'!S13</f>
        <v>1376342.8641124265</v>
      </c>
      <c r="E10" s="115">
        <f>+'Alternativa I'!C11</f>
        <v>15978.181907200516</v>
      </c>
      <c r="F10" s="176">
        <f>+'Alternativa I'!S11</f>
        <v>1275824.3008004404</v>
      </c>
      <c r="G10" s="115">
        <f t="shared" si="0"/>
        <v>100518.56331198616</v>
      </c>
      <c r="H10" s="95">
        <f t="shared" si="1"/>
        <v>-4442.4617629769018</v>
      </c>
      <c r="I10" s="95">
        <f>+'Beneficios exógenos'!V9+'Beneficios exógenos'!J36</f>
        <v>-306679.40122462972</v>
      </c>
      <c r="J10" s="129">
        <f t="shared" si="2"/>
        <v>-210603.29967562045</v>
      </c>
    </row>
    <row r="11" spans="2:10">
      <c r="B11" s="139">
        <v>2025</v>
      </c>
      <c r="C11" s="115">
        <f>+'Alternativa Base'!C14</f>
        <v>11535.720144223615</v>
      </c>
      <c r="D11" s="104">
        <f>+'Alternativa Base'!S14</f>
        <v>1485678.2986706248</v>
      </c>
      <c r="E11" s="115">
        <f>+'Alternativa I'!C12</f>
        <v>15978.181907200516</v>
      </c>
      <c r="F11" s="176">
        <f>+'Alternativa I'!S12</f>
        <v>1377040.6615998053</v>
      </c>
      <c r="G11" s="115">
        <f t="shared" si="0"/>
        <v>108637.6370708195</v>
      </c>
      <c r="H11" s="95">
        <f t="shared" si="1"/>
        <v>-4442.4617629769018</v>
      </c>
      <c r="I11" s="95">
        <f>+'Beneficios exógenos'!V10+'Beneficios exógenos'!J37</f>
        <v>46289.074017123668</v>
      </c>
      <c r="J11" s="129">
        <f t="shared" si="2"/>
        <v>150484.24932496628</v>
      </c>
    </row>
    <row r="12" spans="2:10">
      <c r="B12" s="139">
        <v>2026</v>
      </c>
      <c r="C12" s="115">
        <f>+'Alternativa Base'!C15</f>
        <v>11535.720144223615</v>
      </c>
      <c r="D12" s="104">
        <f>+'Alternativa Base'!S15</f>
        <v>1605856.7324124074</v>
      </c>
      <c r="E12" s="115">
        <f>+'Alternativa I'!C13</f>
        <v>15978.181907200516</v>
      </c>
      <c r="F12" s="176">
        <f>+'Alternativa I'!S13</f>
        <v>1486403.768264544</v>
      </c>
      <c r="G12" s="115">
        <f t="shared" si="0"/>
        <v>119452.96414786344</v>
      </c>
      <c r="H12" s="95">
        <f t="shared" si="1"/>
        <v>-4442.4617629769018</v>
      </c>
      <c r="I12" s="95">
        <f>+'Beneficios exógenos'!V11+'Beneficios exógenos'!J38</f>
        <v>50882.65474387235</v>
      </c>
      <c r="J12" s="129">
        <f t="shared" si="2"/>
        <v>165893.1571287589</v>
      </c>
    </row>
    <row r="13" spans="2:10">
      <c r="B13" s="139">
        <v>2027</v>
      </c>
      <c r="C13" s="115">
        <f>+'Alternativa Base'!C16</f>
        <v>11535.720144223615</v>
      </c>
      <c r="D13" s="104">
        <f>+'Alternativa Base'!S16</f>
        <v>1737508.6506582927</v>
      </c>
      <c r="E13" s="115">
        <f>+'Alternativa I'!C14</f>
        <v>15978.181907200516</v>
      </c>
      <c r="F13" s="176">
        <f>+'Alternativa I'!S14</f>
        <v>1606651.1463818802</v>
      </c>
      <c r="G13" s="115">
        <f t="shared" si="0"/>
        <v>130857.50427641254</v>
      </c>
      <c r="H13" s="95">
        <f t="shared" si="1"/>
        <v>-4442.4617629769018</v>
      </c>
      <c r="I13" s="95">
        <f>+'Beneficios exógenos'!V12+'Beneficios exógenos'!J39</f>
        <v>56071.311990122776</v>
      </c>
      <c r="J13" s="129">
        <f t="shared" si="2"/>
        <v>182486.35450355842</v>
      </c>
    </row>
    <row r="14" spans="2:10">
      <c r="B14" s="139">
        <v>2028</v>
      </c>
      <c r="C14" s="115">
        <f>+'Alternativa Base'!C17</f>
        <v>11535.720144223615</v>
      </c>
      <c r="D14" s="104">
        <f>+'Alternativa Base'!S17</f>
        <v>1893114.9058661147</v>
      </c>
      <c r="E14" s="115">
        <f>+'Alternativa I'!C15</f>
        <v>15978.181907200516</v>
      </c>
      <c r="F14" s="176">
        <f>+'Alternativa I'!S15</f>
        <v>1736328.0965744762</v>
      </c>
      <c r="G14" s="115">
        <f t="shared" si="0"/>
        <v>156786.80929163843</v>
      </c>
      <c r="H14" s="95">
        <f t="shared" si="1"/>
        <v>-4442.4617629769018</v>
      </c>
      <c r="I14" s="95">
        <f>+'Beneficios exógenos'!V13+'Beneficios exógenos'!J40</f>
        <v>67318.408082019188</v>
      </c>
      <c r="J14" s="129">
        <f t="shared" si="2"/>
        <v>219662.75561068073</v>
      </c>
    </row>
    <row r="15" spans="2:10">
      <c r="B15" s="139">
        <v>2029</v>
      </c>
      <c r="C15" s="115">
        <f>+'Alternativa Base'!C18</f>
        <v>360976.54683488567</v>
      </c>
      <c r="D15" s="104">
        <f>+'Alternativa Base'!S18</f>
        <v>2019053.6521948739</v>
      </c>
      <c r="E15" s="115">
        <f>+'Alternativa I'!C16</f>
        <v>15978.181907200516</v>
      </c>
      <c r="F15" s="176">
        <f>+'Alternativa I'!S16</f>
        <v>1881121.2244964833</v>
      </c>
      <c r="G15" s="115">
        <f t="shared" si="0"/>
        <v>137932.42769839056</v>
      </c>
      <c r="H15" s="95">
        <f t="shared" si="1"/>
        <v>344998.36492768512</v>
      </c>
      <c r="I15" s="95">
        <f>+'Beneficios exógenos'!V14+'Beneficios exógenos'!J41</f>
        <v>409798.72989845567</v>
      </c>
      <c r="J15" s="129">
        <f t="shared" si="2"/>
        <v>892729.52252453135</v>
      </c>
    </row>
    <row r="16" spans="2:10">
      <c r="B16" s="139">
        <v>2030</v>
      </c>
      <c r="C16" s="115">
        <f>+'Alternativa Base'!C19</f>
        <v>11535.720144223615</v>
      </c>
      <c r="D16" s="104">
        <f>+'Alternativa Base'!S19</f>
        <v>2184804.8456530063</v>
      </c>
      <c r="E16" s="115">
        <f>+'Alternativa I'!C17</f>
        <v>412748.42930907337</v>
      </c>
      <c r="F16" s="176">
        <f>+'Alternativa I'!S17</f>
        <v>2016889.227729839</v>
      </c>
      <c r="G16" s="115">
        <f t="shared" si="0"/>
        <v>167915.6179231673</v>
      </c>
      <c r="H16" s="95">
        <f t="shared" si="1"/>
        <v>-401212.70916484977</v>
      </c>
      <c r="I16" s="95">
        <f>+'Beneficios exógenos'!V15+'Beneficios exógenos'!J42</f>
        <v>65222.745556258364</v>
      </c>
      <c r="J16" s="129">
        <f t="shared" si="2"/>
        <v>-168074.34568542411</v>
      </c>
    </row>
    <row r="17" spans="2:10">
      <c r="B17" s="139">
        <v>2031</v>
      </c>
      <c r="C17" s="115">
        <f>+'Alternativa Base'!C20</f>
        <v>11535.720144223615</v>
      </c>
      <c r="D17" s="104">
        <f>+'Alternativa Base'!S20</f>
        <v>2365121.0762771629</v>
      </c>
      <c r="E17" s="115">
        <f>+'Alternativa I'!C18</f>
        <v>15978.181907200516</v>
      </c>
      <c r="F17" s="176">
        <f>+'Alternativa I'!S18</f>
        <v>2182593.8075770251</v>
      </c>
      <c r="G17" s="115">
        <f t="shared" si="0"/>
        <v>182527.26870013773</v>
      </c>
      <c r="H17" s="95">
        <f t="shared" si="1"/>
        <v>-4442.4617629769018</v>
      </c>
      <c r="I17" s="95">
        <f>+'Beneficios exógenos'!V16+'Beneficios exógenos'!J43</f>
        <v>68532.226369287935</v>
      </c>
      <c r="J17" s="129">
        <f t="shared" si="2"/>
        <v>246617.03330644878</v>
      </c>
    </row>
    <row r="18" spans="2:10">
      <c r="B18" s="139">
        <v>2032</v>
      </c>
      <c r="C18" s="115">
        <f>+'Alternativa Base'!C21</f>
        <v>11535.720144223615</v>
      </c>
      <c r="D18" s="104">
        <f>+'Alternativa Base'!S21</f>
        <v>2565596.1934347302</v>
      </c>
      <c r="E18" s="115">
        <f>+'Alternativa I'!C19</f>
        <v>15978.181907200516</v>
      </c>
      <c r="F18" s="176">
        <f>+'Alternativa I'!S19</f>
        <v>2361899.3320411616</v>
      </c>
      <c r="G18" s="115">
        <f t="shared" si="0"/>
        <v>203696.86139356857</v>
      </c>
      <c r="H18" s="95">
        <f t="shared" si="1"/>
        <v>-4442.4617629769018</v>
      </c>
      <c r="I18" s="95">
        <f>+'Beneficios exógenos'!V17+'Beneficios exógenos'!J44</f>
        <v>69843.614982626634</v>
      </c>
      <c r="J18" s="129">
        <f t="shared" si="2"/>
        <v>269098.01461321831</v>
      </c>
    </row>
    <row r="19" spans="2:10">
      <c r="B19" s="139">
        <v>2033</v>
      </c>
      <c r="C19" s="115">
        <f>+'Alternativa Base'!C22</f>
        <v>11535.720144223615</v>
      </c>
      <c r="D19" s="104">
        <f>+'Alternativa Base'!S22</f>
        <v>2787508.8523533884</v>
      </c>
      <c r="E19" s="115">
        <f>+'Alternativa I'!C20</f>
        <v>15978.181907200516</v>
      </c>
      <c r="F19" s="176">
        <f>+'Alternativa I'!S20</f>
        <v>2558530.7262952346</v>
      </c>
      <c r="G19" s="115">
        <f t="shared" si="0"/>
        <v>228978.12605815381</v>
      </c>
      <c r="H19" s="95">
        <f t="shared" si="1"/>
        <v>-4442.4617629769018</v>
      </c>
      <c r="I19" s="95">
        <f>+'Beneficios exógenos'!V18+'Beneficios exógenos'!J45</f>
        <v>-253495.92931059084</v>
      </c>
      <c r="J19" s="129">
        <f t="shared" si="2"/>
        <v>-28960.265015413937</v>
      </c>
    </row>
    <row r="20" spans="2:10">
      <c r="B20" s="139">
        <v>2034</v>
      </c>
      <c r="C20" s="115">
        <f>+'Alternativa Base'!C23</f>
        <v>360976.54683488567</v>
      </c>
      <c r="D20" s="104">
        <f>+'Alternativa Base'!S23</f>
        <v>2992979.2211318226</v>
      </c>
      <c r="E20" s="115">
        <f>+'Alternativa I'!C21</f>
        <v>15978.181907200516</v>
      </c>
      <c r="F20" s="176">
        <f>+'Alternativa I'!S21</f>
        <v>2771145.0024730349</v>
      </c>
      <c r="G20" s="115">
        <f t="shared" si="0"/>
        <v>221834.21865878766</v>
      </c>
      <c r="H20" s="95">
        <f t="shared" si="1"/>
        <v>344998.36492768512</v>
      </c>
      <c r="I20" s="95">
        <f>+'Beneficios exógenos'!V19+'Beneficios exógenos'!J46</f>
        <v>441918.80696950119</v>
      </c>
      <c r="J20" s="129">
        <f t="shared" si="2"/>
        <v>1008751.390555974</v>
      </c>
    </row>
    <row r="21" spans="2:10">
      <c r="B21" s="139">
        <v>2035</v>
      </c>
      <c r="C21" s="115">
        <f>+'Alternativa Base'!C24</f>
        <v>11535.720144223615</v>
      </c>
      <c r="D21" s="104">
        <f>+'Alternativa Base'!S24</f>
        <v>3244572.2561669988</v>
      </c>
      <c r="E21" s="115">
        <f>+'Alternativa I'!C22</f>
        <v>15978.181907200516</v>
      </c>
      <c r="F21" s="176">
        <f>+'Alternativa I'!S22</f>
        <v>3005962.6603388689</v>
      </c>
      <c r="G21" s="115">
        <f t="shared" si="0"/>
        <v>238609.59582812991</v>
      </c>
      <c r="H21" s="95">
        <f t="shared" si="1"/>
        <v>-4442.4617629769018</v>
      </c>
      <c r="I21" s="95">
        <f>+'Beneficios exógenos'!V20+'Beneficios exógenos'!J47</f>
        <v>101007.96015844075</v>
      </c>
      <c r="J21" s="129">
        <f t="shared" si="2"/>
        <v>335175.09422359377</v>
      </c>
    </row>
    <row r="22" spans="2:10">
      <c r="B22" s="139">
        <v>2036</v>
      </c>
      <c r="C22" s="115">
        <f>+'Alternativa Base'!C25</f>
        <v>11535.720144223615</v>
      </c>
      <c r="D22" s="104">
        <f>+'Alternativa Base'!S25</f>
        <v>3518506.3366208798</v>
      </c>
      <c r="E22" s="115">
        <f>+'Alternativa I'!C23</f>
        <v>15978.181907200516</v>
      </c>
      <c r="F22" s="176">
        <f>+'Alternativa I'!S23</f>
        <v>3260777.2214869615</v>
      </c>
      <c r="G22" s="115">
        <f t="shared" si="0"/>
        <v>257729.11513391836</v>
      </c>
      <c r="H22" s="95">
        <f t="shared" si="1"/>
        <v>-4442.4617629769018</v>
      </c>
      <c r="I22" s="95">
        <f>+'Beneficios exógenos'!V21+'Beneficios exógenos'!J48</f>
        <v>109493.85765682813</v>
      </c>
      <c r="J22" s="129">
        <f t="shared" si="2"/>
        <v>362780.51102776959</v>
      </c>
    </row>
    <row r="23" spans="2:10">
      <c r="B23" s="139">
        <v>2037</v>
      </c>
      <c r="C23" s="115">
        <f>+'Alternativa Base'!C26</f>
        <v>11535.720144223615</v>
      </c>
      <c r="D23" s="104">
        <f>+'Alternativa Base'!S26</f>
        <v>3823124.8964276877</v>
      </c>
      <c r="E23" s="115">
        <f>+'Alternativa I'!C24</f>
        <v>412748.42930907337</v>
      </c>
      <c r="F23" s="176">
        <f>+'Alternativa I'!S24</f>
        <v>3514008.8281659433</v>
      </c>
      <c r="G23" s="115">
        <f t="shared" si="0"/>
        <v>309116.06826174445</v>
      </c>
      <c r="H23" s="95">
        <f t="shared" si="1"/>
        <v>-401212.70916484977</v>
      </c>
      <c r="I23" s="95">
        <f>+'Beneficios exógenos'!V22+'Beneficios exógenos'!J49</f>
        <v>122052.97644417896</v>
      </c>
      <c r="J23" s="129">
        <f t="shared" si="2"/>
        <v>29956.33554107364</v>
      </c>
    </row>
    <row r="24" spans="2:10">
      <c r="B24" s="139">
        <v>2038</v>
      </c>
      <c r="C24" s="115">
        <f>+'Alternativa Base'!C27</f>
        <v>11535.720144223615</v>
      </c>
      <c r="D24" s="104">
        <f>+'Alternativa Base'!S27</f>
        <v>4160444.7236442328</v>
      </c>
      <c r="E24" s="115">
        <f>+'Alternativa I'!C25</f>
        <v>15978.181907200516</v>
      </c>
      <c r="F24" s="176">
        <f>+'Alternativa I'!S25</f>
        <v>3812952.6981358309</v>
      </c>
      <c r="G24" s="115">
        <f t="shared" si="0"/>
        <v>347492.02550840192</v>
      </c>
      <c r="H24" s="95">
        <f t="shared" si="1"/>
        <v>-4442.4617629769018</v>
      </c>
      <c r="I24" s="95">
        <f>+'Beneficios exógenos'!V23+'Beneficios exógenos'!J50</f>
        <v>135509.98356559128</v>
      </c>
      <c r="J24" s="129">
        <f t="shared" si="2"/>
        <v>478559.5473110163</v>
      </c>
    </row>
    <row r="25" spans="2:10" ht="15" thickBot="1">
      <c r="B25" s="140">
        <v>2039</v>
      </c>
      <c r="C25" s="116">
        <f>+'Alternativa Base'!C28</f>
        <v>360976.54683488567</v>
      </c>
      <c r="D25" s="93">
        <f>+'Alternativa Base'!S28</f>
        <v>4474549.7948972695</v>
      </c>
      <c r="E25" s="116">
        <f>+'Alternativa I'!C26</f>
        <v>15978.181907200516</v>
      </c>
      <c r="F25" s="177">
        <f>+'Alternativa I'!S26</f>
        <v>4136970.5127709638</v>
      </c>
      <c r="G25" s="116">
        <f t="shared" si="0"/>
        <v>337579.28212630562</v>
      </c>
      <c r="H25" s="130">
        <f t="shared" si="1"/>
        <v>344998.36492768512</v>
      </c>
      <c r="I25" s="130">
        <f>+'Beneficios exógenos'!V24+'Alternativa I'!J32+'Beneficios exógenos'!J51</f>
        <v>2671123.436317584</v>
      </c>
      <c r="J25" s="174">
        <f t="shared" si="2"/>
        <v>3353701.083371575</v>
      </c>
    </row>
    <row r="26" spans="2:10">
      <c r="G26" s="94"/>
      <c r="I26" s="167" t="s">
        <v>114</v>
      </c>
      <c r="J26" s="168">
        <f>+NPV(0.1,J6:J25)+J5</f>
        <v>8566</v>
      </c>
    </row>
    <row r="27" spans="2:10" ht="15" thickBot="1">
      <c r="I27" s="145" t="s">
        <v>113</v>
      </c>
      <c r="J27" s="146">
        <f>+IRR(J5:J25)</f>
        <v>0.10034994190734037</v>
      </c>
    </row>
  </sheetData>
  <mergeCells count="3">
    <mergeCell ref="C3:D3"/>
    <mergeCell ref="E3:F3"/>
    <mergeCell ref="B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abSelected="1" workbookViewId="0">
      <selection activeCell="J6" sqref="J6"/>
    </sheetView>
  </sheetViews>
  <sheetFormatPr baseColWidth="10" defaultColWidth="9.109375" defaultRowHeight="14.4"/>
  <cols>
    <col min="3" max="3" width="24.6640625" bestFit="1" customWidth="1"/>
    <col min="4" max="4" width="23" bestFit="1" customWidth="1"/>
    <col min="5" max="5" width="24.6640625" bestFit="1" customWidth="1"/>
    <col min="6" max="6" width="23" bestFit="1" customWidth="1"/>
    <col min="7" max="7" width="13.33203125" bestFit="1" customWidth="1"/>
    <col min="8" max="8" width="19.6640625" bestFit="1" customWidth="1"/>
    <col min="9" max="9" width="17.88671875" bestFit="1" customWidth="1"/>
    <col min="10" max="10" width="17.6640625" bestFit="1" customWidth="1"/>
  </cols>
  <sheetData>
    <row r="1" spans="2:10" ht="15.6">
      <c r="B1" s="291" t="s">
        <v>118</v>
      </c>
      <c r="C1" s="291"/>
      <c r="D1" s="291"/>
      <c r="E1" s="291"/>
      <c r="F1" s="291"/>
      <c r="G1" s="291"/>
      <c r="H1" s="291"/>
      <c r="I1" s="291"/>
      <c r="J1" s="291"/>
    </row>
    <row r="2" spans="2:10" ht="15" thickBot="1"/>
    <row r="3" spans="2:10" ht="15" thickBot="1">
      <c r="C3" s="292" t="s">
        <v>70</v>
      </c>
      <c r="D3" s="293"/>
      <c r="E3" s="292" t="s">
        <v>101</v>
      </c>
      <c r="F3" s="293"/>
    </row>
    <row r="4" spans="2:10" ht="15" thickBot="1">
      <c r="B4" s="137" t="s">
        <v>55</v>
      </c>
      <c r="C4" s="131" t="s">
        <v>102</v>
      </c>
      <c r="D4" s="132" t="s">
        <v>103</v>
      </c>
      <c r="E4" s="131" t="s">
        <v>102</v>
      </c>
      <c r="F4" s="132" t="s">
        <v>103</v>
      </c>
      <c r="G4" s="143" t="s">
        <v>104</v>
      </c>
      <c r="H4" s="136" t="s">
        <v>105</v>
      </c>
      <c r="I4" s="135" t="s">
        <v>106</v>
      </c>
      <c r="J4" s="132" t="s">
        <v>107</v>
      </c>
    </row>
    <row r="5" spans="2:10">
      <c r="B5" s="138">
        <v>2019</v>
      </c>
      <c r="C5" s="141"/>
      <c r="D5" s="142"/>
      <c r="E5" s="144">
        <f>+'Alternativa II'!C6</f>
        <v>2567416.8460774082</v>
      </c>
      <c r="F5" s="142"/>
      <c r="G5" s="169"/>
      <c r="H5" s="170">
        <f>+C5-E5</f>
        <v>-2567416.8460774082</v>
      </c>
      <c r="I5" s="171"/>
      <c r="J5" s="172">
        <f>+I5+G5+H5</f>
        <v>-2567416.8460774082</v>
      </c>
    </row>
    <row r="6" spans="2:10">
      <c r="B6" s="139">
        <v>2020</v>
      </c>
      <c r="C6" s="115">
        <f>+'Alternativa Base'!C9</f>
        <v>11535.720144223615</v>
      </c>
      <c r="D6" s="104">
        <f>+'Alternativa Base'!S9</f>
        <v>1016038.0548999942</v>
      </c>
      <c r="E6" s="115">
        <f>+'Alternativa II'!C7</f>
        <v>22550.04250534689</v>
      </c>
      <c r="F6" s="104">
        <f>+'Alternativa II'!S7</f>
        <v>942880.66919054941</v>
      </c>
      <c r="G6" s="115">
        <f t="shared" ref="G6:G25" si="0">+D6-F6</f>
        <v>73157.385709444759</v>
      </c>
      <c r="H6" s="133">
        <f t="shared" ref="H6:H25" si="1">+C6-E6</f>
        <v>-11014.322361123275</v>
      </c>
      <c r="I6" s="95">
        <f>+'Beneficios exógenos'!V5+'Beneficios exógenos'!J32</f>
        <v>30909.696456102887</v>
      </c>
      <c r="J6" s="134">
        <f t="shared" ref="J6:J24" si="2">+I6+G6+H6</f>
        <v>93052.759804424364</v>
      </c>
    </row>
    <row r="7" spans="2:10">
      <c r="B7" s="139">
        <v>2021</v>
      </c>
      <c r="C7" s="115">
        <f>+'Alternativa Base'!C10</f>
        <v>11535.720144223615</v>
      </c>
      <c r="D7" s="104">
        <f>+'Alternativa Base'!S10</f>
        <v>1101909.209530069</v>
      </c>
      <c r="E7" s="115">
        <f>+'Alternativa II'!C8</f>
        <v>22550.04250534689</v>
      </c>
      <c r="F7" s="104">
        <f>+'Alternativa II'!S8</f>
        <v>1020344.5013558388</v>
      </c>
      <c r="G7" s="115">
        <f t="shared" si="0"/>
        <v>81564.708174230182</v>
      </c>
      <c r="H7" s="133">
        <f t="shared" si="1"/>
        <v>-11014.322361123275</v>
      </c>
      <c r="I7" s="95">
        <f>+'Beneficios exógenos'!V6+'Beneficios exógenos'!J33</f>
        <v>33987.949191384774</v>
      </c>
      <c r="J7" s="134">
        <f t="shared" si="2"/>
        <v>104538.33500449167</v>
      </c>
    </row>
    <row r="8" spans="2:10">
      <c r="B8" s="139">
        <v>2022</v>
      </c>
      <c r="C8" s="115">
        <f>+'Alternativa Base'!C11</f>
        <v>11535.720144223615</v>
      </c>
      <c r="D8" s="104">
        <f>+'Alternativa Base'!S11</f>
        <v>1194482.6264720662</v>
      </c>
      <c r="E8" s="115">
        <f>+'Alternativa II'!C9</f>
        <v>22550.04250534689</v>
      </c>
      <c r="F8" s="104">
        <f>+'Alternativa II'!S9</f>
        <v>1101687.6586001925</v>
      </c>
      <c r="G8" s="115">
        <f t="shared" si="0"/>
        <v>92794.96787187364</v>
      </c>
      <c r="H8" s="133">
        <f t="shared" si="1"/>
        <v>-11014.322361123275</v>
      </c>
      <c r="I8" s="95">
        <f>+'Beneficios exógenos'!V7+'Beneficios exógenos'!J34</f>
        <v>38274.538685539446</v>
      </c>
      <c r="J8" s="134">
        <f t="shared" si="2"/>
        <v>120055.1841962898</v>
      </c>
    </row>
    <row r="9" spans="2:10">
      <c r="B9" s="139">
        <v>2023</v>
      </c>
      <c r="C9" s="115">
        <f>+'Alternativa Base'!C12</f>
        <v>360976.54683488567</v>
      </c>
      <c r="D9" s="104">
        <f>+'Alternativa Base'!S12</f>
        <v>1275519.5843707512</v>
      </c>
      <c r="E9" s="115">
        <f>+'Alternativa II'!C10</f>
        <v>22550.04250534689</v>
      </c>
      <c r="F9" s="104">
        <f>+'Alternativa II'!S10</f>
        <v>1188764.0435473844</v>
      </c>
      <c r="G9" s="115">
        <f t="shared" si="0"/>
        <v>86755.540823366726</v>
      </c>
      <c r="H9" s="133">
        <f t="shared" si="1"/>
        <v>338426.50432953879</v>
      </c>
      <c r="I9" s="95">
        <f>+'Beneficios exógenos'!V8+'Beneficios exógenos'!J35</f>
        <v>382173.16886271804</v>
      </c>
      <c r="J9" s="134">
        <f t="shared" si="2"/>
        <v>807355.21401562355</v>
      </c>
    </row>
    <row r="10" spans="2:10">
      <c r="B10" s="139">
        <v>2024</v>
      </c>
      <c r="C10" s="115">
        <f>+'Alternativa Base'!C13</f>
        <v>11535.720144223615</v>
      </c>
      <c r="D10" s="104">
        <f>+'Alternativa Base'!S13</f>
        <v>1376342.8641124265</v>
      </c>
      <c r="E10" s="115">
        <f>+'Alternativa II'!C11</f>
        <v>22550.04250534689</v>
      </c>
      <c r="F10" s="104">
        <f>+'Alternativa II'!S11</f>
        <v>1282978.7118533805</v>
      </c>
      <c r="G10" s="115">
        <f t="shared" si="0"/>
        <v>93364.152259045979</v>
      </c>
      <c r="H10" s="133">
        <f t="shared" si="1"/>
        <v>-11014.322361123275</v>
      </c>
      <c r="I10" s="95">
        <f>+'Beneficios exógenos'!V9+'Beneficios exógenos'!J36</f>
        <v>-306679.40122462972</v>
      </c>
      <c r="J10" s="134">
        <f t="shared" si="2"/>
        <v>-224329.57132670702</v>
      </c>
    </row>
    <row r="11" spans="2:10">
      <c r="B11" s="139">
        <v>2025</v>
      </c>
      <c r="C11" s="115">
        <f>+'Alternativa Base'!C14</f>
        <v>11535.720144223615</v>
      </c>
      <c r="D11" s="104">
        <f>+'Alternativa Base'!S14</f>
        <v>1485678.2986706248</v>
      </c>
      <c r="E11" s="115">
        <f>+'Alternativa II'!C12</f>
        <v>22550.04250534689</v>
      </c>
      <c r="F11" s="104">
        <f>+'Alternativa II'!S12</f>
        <v>1389008.8342451544</v>
      </c>
      <c r="G11" s="115">
        <f t="shared" si="0"/>
        <v>96669.464425470447</v>
      </c>
      <c r="H11" s="133">
        <f t="shared" si="1"/>
        <v>-11014.322361123275</v>
      </c>
      <c r="I11" s="95">
        <f>+'Beneficios exógenos'!V10+'Beneficios exógenos'!J37</f>
        <v>46289.074017123668</v>
      </c>
      <c r="J11" s="134">
        <f t="shared" si="2"/>
        <v>131944.21608147083</v>
      </c>
    </row>
    <row r="12" spans="2:10">
      <c r="B12" s="139">
        <v>2026</v>
      </c>
      <c r="C12" s="115">
        <f>+'Alternativa Base'!C15</f>
        <v>11535.720144223615</v>
      </c>
      <c r="D12" s="104">
        <f>+'Alternativa Base'!S15</f>
        <v>1605856.7324124074</v>
      </c>
      <c r="E12" s="115">
        <f>+'Alternativa II'!C13</f>
        <v>22550.04250534689</v>
      </c>
      <c r="F12" s="104">
        <f>+'Alternativa II'!S13</f>
        <v>1506957.3783109232</v>
      </c>
      <c r="G12" s="115">
        <f t="shared" si="0"/>
        <v>98899.354101484176</v>
      </c>
      <c r="H12" s="133">
        <f t="shared" si="1"/>
        <v>-11014.322361123275</v>
      </c>
      <c r="I12" s="95">
        <f>+'Beneficios exógenos'!V11+'Beneficios exógenos'!J38</f>
        <v>50882.65474387235</v>
      </c>
      <c r="J12" s="134">
        <f t="shared" si="2"/>
        <v>138767.68648423324</v>
      </c>
    </row>
    <row r="13" spans="2:10">
      <c r="B13" s="139">
        <v>2027</v>
      </c>
      <c r="C13" s="115">
        <f>+'Alternativa Base'!C16</f>
        <v>11535.720144223615</v>
      </c>
      <c r="D13" s="104">
        <f>+'Alternativa Base'!S16</f>
        <v>1737508.6506582927</v>
      </c>
      <c r="E13" s="115">
        <f>+'Alternativa II'!C14</f>
        <v>22550.04250534689</v>
      </c>
      <c r="F13" s="104">
        <f>+'Alternativa II'!S14</f>
        <v>1641442.3356950474</v>
      </c>
      <c r="G13" s="115">
        <f t="shared" si="0"/>
        <v>96066.314963245299</v>
      </c>
      <c r="H13" s="133">
        <f t="shared" si="1"/>
        <v>-11014.322361123275</v>
      </c>
      <c r="I13" s="95">
        <f>+'Beneficios exógenos'!V12+'Beneficios exógenos'!J39</f>
        <v>56071.311990122776</v>
      </c>
      <c r="J13" s="134">
        <f t="shared" si="2"/>
        <v>141123.30459224479</v>
      </c>
    </row>
    <row r="14" spans="2:10">
      <c r="B14" s="139">
        <v>2028</v>
      </c>
      <c r="C14" s="115">
        <f>+'Alternativa Base'!C17</f>
        <v>11535.720144223615</v>
      </c>
      <c r="D14" s="104">
        <f>+'Alternativa Base'!S17</f>
        <v>1893114.9058661147</v>
      </c>
      <c r="E14" s="115">
        <f>+'Alternativa II'!C15</f>
        <v>22550.04250534689</v>
      </c>
      <c r="F14" s="104">
        <f>+'Alternativa II'!S15</f>
        <v>1783088.9378994927</v>
      </c>
      <c r="G14" s="115">
        <f t="shared" si="0"/>
        <v>110025.96796662197</v>
      </c>
      <c r="H14" s="133">
        <f t="shared" si="1"/>
        <v>-11014.322361123275</v>
      </c>
      <c r="I14" s="95">
        <f>+'Beneficios exógenos'!V13+'Beneficios exógenos'!J40</f>
        <v>67318.408082019188</v>
      </c>
      <c r="J14" s="134">
        <f t="shared" si="2"/>
        <v>166330.05368751788</v>
      </c>
    </row>
    <row r="15" spans="2:10">
      <c r="B15" s="139">
        <v>2029</v>
      </c>
      <c r="C15" s="115">
        <f>+'Alternativa Base'!C18</f>
        <v>360976.54683488567</v>
      </c>
      <c r="D15" s="104">
        <f>+'Alternativa Base'!S18</f>
        <v>2019053.6521948739</v>
      </c>
      <c r="E15" s="115">
        <f>+'Alternativa II'!C16</f>
        <v>235350.68980739036</v>
      </c>
      <c r="F15" s="104">
        <f>+'Alternativa II'!S16</f>
        <v>1866275.4342588689</v>
      </c>
      <c r="G15" s="115">
        <f t="shared" si="0"/>
        <v>152778.21793600498</v>
      </c>
      <c r="H15" s="133">
        <f t="shared" si="1"/>
        <v>125625.85702749531</v>
      </c>
      <c r="I15" s="95">
        <f>+'Beneficios exógenos'!V14+'Beneficios exógenos'!J41</f>
        <v>409798.72989845567</v>
      </c>
      <c r="J15" s="134">
        <f t="shared" si="2"/>
        <v>688202.80486195593</v>
      </c>
    </row>
    <row r="16" spans="2:10">
      <c r="B16" s="139">
        <v>2030</v>
      </c>
      <c r="C16" s="115">
        <f>+'Alternativa Base'!C19</f>
        <v>11535.720144223615</v>
      </c>
      <c r="D16" s="104">
        <f>+'Alternativa Base'!S19</f>
        <v>2184804.8456530063</v>
      </c>
      <c r="E16" s="115">
        <f>+'Alternativa II'!C17</f>
        <v>22550.04250534689</v>
      </c>
      <c r="F16" s="104">
        <f>+'Alternativa II'!S17</f>
        <v>2018762.7387796249</v>
      </c>
      <c r="G16" s="115">
        <f t="shared" si="0"/>
        <v>166042.10687338142</v>
      </c>
      <c r="H16" s="133">
        <f t="shared" si="1"/>
        <v>-11014.322361123275</v>
      </c>
      <c r="I16" s="95">
        <f>+'Beneficios exógenos'!V15+'Beneficios exógenos'!J42</f>
        <v>65222.745556258364</v>
      </c>
      <c r="J16" s="134">
        <f t="shared" si="2"/>
        <v>220250.5300685165</v>
      </c>
    </row>
    <row r="17" spans="2:10">
      <c r="B17" s="139">
        <v>2031</v>
      </c>
      <c r="C17" s="115">
        <f>+'Alternativa Base'!C20</f>
        <v>11535.720144223615</v>
      </c>
      <c r="D17" s="104">
        <f>+'Alternativa Base'!S20</f>
        <v>2365121.0762771629</v>
      </c>
      <c r="E17" s="115">
        <f>+'Alternativa II'!C18</f>
        <v>22550.04250534689</v>
      </c>
      <c r="F17" s="104">
        <f>+'Alternativa II'!S18</f>
        <v>2183725.8674785323</v>
      </c>
      <c r="G17" s="115">
        <f t="shared" si="0"/>
        <v>181395.20879863063</v>
      </c>
      <c r="H17" s="133">
        <f t="shared" si="1"/>
        <v>-11014.322361123275</v>
      </c>
      <c r="I17" s="95">
        <f>+'Beneficios exógenos'!V16+'Beneficios exógenos'!J43</f>
        <v>68532.226369287935</v>
      </c>
      <c r="J17" s="134">
        <f t="shared" si="2"/>
        <v>238913.11280679528</v>
      </c>
    </row>
    <row r="18" spans="2:10">
      <c r="B18" s="139">
        <v>2032</v>
      </c>
      <c r="C18" s="115">
        <f>+'Alternativa Base'!C21</f>
        <v>11535.720144223615</v>
      </c>
      <c r="D18" s="104">
        <f>+'Alternativa Base'!S21</f>
        <v>2565596.1934347302</v>
      </c>
      <c r="E18" s="115">
        <f>+'Alternativa II'!C19</f>
        <v>22550.04250534689</v>
      </c>
      <c r="F18" s="104">
        <f>+'Alternativa II'!S19</f>
        <v>2364598.9989948892</v>
      </c>
      <c r="G18" s="115">
        <f t="shared" si="0"/>
        <v>200997.19443984097</v>
      </c>
      <c r="H18" s="133">
        <f t="shared" si="1"/>
        <v>-11014.322361123275</v>
      </c>
      <c r="I18" s="95">
        <f>+'Beneficios exógenos'!V17+'Beneficios exógenos'!J44</f>
        <v>69843.614982626634</v>
      </c>
      <c r="J18" s="134">
        <f t="shared" si="2"/>
        <v>259826.48706134432</v>
      </c>
    </row>
    <row r="19" spans="2:10">
      <c r="B19" s="139">
        <v>2033</v>
      </c>
      <c r="C19" s="115">
        <f>+'Alternativa Base'!C22</f>
        <v>11535.720144223615</v>
      </c>
      <c r="D19" s="104">
        <f>+'Alternativa Base'!S22</f>
        <v>2787508.8523533884</v>
      </c>
      <c r="E19" s="115">
        <f>+'Alternativa II'!C20</f>
        <v>22550.04250534689</v>
      </c>
      <c r="F19" s="104">
        <f>+'Alternativa II'!S20</f>
        <v>2560126.3181120157</v>
      </c>
      <c r="G19" s="115">
        <f t="shared" si="0"/>
        <v>227382.53424137272</v>
      </c>
      <c r="H19" s="133">
        <f t="shared" si="1"/>
        <v>-11014.322361123275</v>
      </c>
      <c r="I19" s="95">
        <f>+'Beneficios exógenos'!V18+'Beneficios exógenos'!J45</f>
        <v>-253495.92931059084</v>
      </c>
      <c r="J19" s="134">
        <f t="shared" si="2"/>
        <v>-37127.717430341399</v>
      </c>
    </row>
    <row r="20" spans="2:10">
      <c r="B20" s="139">
        <v>2034</v>
      </c>
      <c r="C20" s="115">
        <f>+'Alternativa Base'!C23</f>
        <v>360976.54683488567</v>
      </c>
      <c r="D20" s="104">
        <f>+'Alternativa Base'!S23</f>
        <v>2992979.2211318226</v>
      </c>
      <c r="E20" s="115">
        <f>+'Alternativa II'!C21</f>
        <v>22550.04250534689</v>
      </c>
      <c r="F20" s="104">
        <f>+'Alternativa II'!S21</f>
        <v>2776046.8740210342</v>
      </c>
      <c r="G20" s="115">
        <f t="shared" si="0"/>
        <v>216932.34711078834</v>
      </c>
      <c r="H20" s="133">
        <f t="shared" si="1"/>
        <v>338426.50432953879</v>
      </c>
      <c r="I20" s="95">
        <f>+'Beneficios exógenos'!V19+'Beneficios exógenos'!J46</f>
        <v>441918.80696950119</v>
      </c>
      <c r="J20" s="134">
        <f t="shared" si="2"/>
        <v>997277.65840982832</v>
      </c>
    </row>
    <row r="21" spans="2:10">
      <c r="B21" s="139">
        <v>2035</v>
      </c>
      <c r="C21" s="115">
        <f>+'Alternativa Base'!C24</f>
        <v>11535.720144223615</v>
      </c>
      <c r="D21" s="104">
        <f>+'Alternativa Base'!S24</f>
        <v>3244572.2561669988</v>
      </c>
      <c r="E21" s="115">
        <f>+'Alternativa II'!C22</f>
        <v>22550.04250534689</v>
      </c>
      <c r="F21" s="104">
        <f>+'Alternativa II'!S22</f>
        <v>3010303.340954551</v>
      </c>
      <c r="G21" s="115">
        <f t="shared" si="0"/>
        <v>234268.91521244776</v>
      </c>
      <c r="H21" s="133">
        <f t="shared" si="1"/>
        <v>-11014.322361123275</v>
      </c>
      <c r="I21" s="95">
        <f>+'Beneficios exógenos'!V20+'Beneficios exógenos'!J47</f>
        <v>101007.96015844075</v>
      </c>
      <c r="J21" s="134">
        <f t="shared" si="2"/>
        <v>324262.55300976522</v>
      </c>
    </row>
    <row r="22" spans="2:10">
      <c r="B22" s="139">
        <v>2036</v>
      </c>
      <c r="C22" s="115">
        <f>+'Alternativa Base'!C25</f>
        <v>11535.720144223615</v>
      </c>
      <c r="D22" s="104">
        <f>+'Alternativa Base'!S25</f>
        <v>3518506.3366208798</v>
      </c>
      <c r="E22" s="115">
        <f>+'Alternativa II'!C23</f>
        <v>22550.04250534689</v>
      </c>
      <c r="F22" s="104">
        <f>+'Alternativa II'!S23</f>
        <v>3273819.9765317151</v>
      </c>
      <c r="G22" s="115">
        <f t="shared" si="0"/>
        <v>244686.36008916469</v>
      </c>
      <c r="H22" s="133">
        <f t="shared" si="1"/>
        <v>-11014.322361123275</v>
      </c>
      <c r="I22" s="95">
        <f>+'Beneficios exógenos'!V21+'Beneficios exógenos'!J48</f>
        <v>109493.85765682813</v>
      </c>
      <c r="J22" s="134">
        <f t="shared" si="2"/>
        <v>343165.89538486954</v>
      </c>
    </row>
    <row r="23" spans="2:10">
      <c r="B23" s="139">
        <v>2037</v>
      </c>
      <c r="C23" s="115">
        <f>+'Alternativa Base'!C26</f>
        <v>11535.720144223615</v>
      </c>
      <c r="D23" s="104">
        <f>+'Alternativa Base'!S26</f>
        <v>3823124.8964276877</v>
      </c>
      <c r="E23" s="115">
        <f>+'Alternativa II'!C24</f>
        <v>22550.04250534689</v>
      </c>
      <c r="F23" s="104">
        <f>+'Alternativa II'!S24</f>
        <v>3567206.6151726902</v>
      </c>
      <c r="G23" s="115">
        <f t="shared" si="0"/>
        <v>255918.28125499748</v>
      </c>
      <c r="H23" s="133">
        <f t="shared" si="1"/>
        <v>-11014.322361123275</v>
      </c>
      <c r="I23" s="95">
        <f>+'Beneficios exógenos'!V22+'Beneficios exógenos'!J49</f>
        <v>122052.97644417896</v>
      </c>
      <c r="J23" s="134">
        <f t="shared" si="2"/>
        <v>366956.93533805315</v>
      </c>
    </row>
    <row r="24" spans="2:10">
      <c r="B24" s="139">
        <v>2038</v>
      </c>
      <c r="C24" s="115">
        <f>+'Alternativa Base'!C27</f>
        <v>11535.720144223615</v>
      </c>
      <c r="D24" s="104">
        <f>+'Alternativa Base'!S27</f>
        <v>4160444.7236442328</v>
      </c>
      <c r="E24" s="115">
        <f>+'Alternativa II'!C25</f>
        <v>22550.04250534689</v>
      </c>
      <c r="F24" s="104">
        <f>+'Alternativa II'!S25</f>
        <v>3901557.8661572039</v>
      </c>
      <c r="G24" s="115">
        <f t="shared" si="0"/>
        <v>258886.85748702893</v>
      </c>
      <c r="H24" s="133">
        <f t="shared" si="1"/>
        <v>-11014.322361123275</v>
      </c>
      <c r="I24" s="95">
        <f>+'Beneficios exógenos'!V23+'Beneficios exógenos'!J50</f>
        <v>135509.98356559128</v>
      </c>
      <c r="J24" s="134">
        <f t="shared" si="2"/>
        <v>383382.51869149692</v>
      </c>
    </row>
    <row r="25" spans="2:10" ht="15" thickBot="1">
      <c r="B25" s="140">
        <v>2039</v>
      </c>
      <c r="C25" s="116">
        <f>+'Alternativa Base'!C28</f>
        <v>360976.54683488567</v>
      </c>
      <c r="D25" s="93">
        <f>+'Alternativa Base'!S28</f>
        <v>4474549.7948972695</v>
      </c>
      <c r="E25" s="116">
        <f>+'Alternativa II'!C26</f>
        <v>22550.04250534689</v>
      </c>
      <c r="F25" s="93">
        <f>+'Alternativa II'!S26</f>
        <v>4255637.5735879783</v>
      </c>
      <c r="G25" s="116">
        <f t="shared" si="0"/>
        <v>218912.2213092912</v>
      </c>
      <c r="H25" s="173">
        <f t="shared" si="1"/>
        <v>338426.50432953879</v>
      </c>
      <c r="I25" s="130">
        <f>+'Beneficios exógenos'!V24+'Alternativa II'!J32+'Beneficios exógenos'!J51</f>
        <v>2544142.0966996481</v>
      </c>
      <c r="J25" s="182">
        <f>+I25+G25+H25</f>
        <v>3101480.8223384782</v>
      </c>
    </row>
    <row r="26" spans="2:10">
      <c r="G26" s="94"/>
      <c r="I26" s="167" t="s">
        <v>114</v>
      </c>
      <c r="J26" s="168">
        <f>+NPV(0.1,J6:J25)+J5</f>
        <v>-160977.46249082265</v>
      </c>
    </row>
    <row r="27" spans="2:10" ht="15" thickBot="1">
      <c r="I27" s="145" t="s">
        <v>113</v>
      </c>
      <c r="J27" s="146">
        <f>+IRR(J5:J25)</f>
        <v>9.370554796565389E-2</v>
      </c>
    </row>
  </sheetData>
  <mergeCells count="3">
    <mergeCell ref="C3:D3"/>
    <mergeCell ref="E3:F3"/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Costos de Conservación</vt:lpstr>
      <vt:lpstr>TPDA</vt:lpstr>
      <vt:lpstr>Alternativa Base</vt:lpstr>
      <vt:lpstr>Alternativa I</vt:lpstr>
      <vt:lpstr>Alternativa II</vt:lpstr>
      <vt:lpstr>Beneficios exógenos</vt:lpstr>
      <vt:lpstr>Comparación</vt:lpstr>
      <vt:lpstr>Comparación Base-Alt I</vt:lpstr>
      <vt:lpstr>Comparación Base-Alt II</vt:lpstr>
      <vt:lpstr>VOC Urbano 50km</vt:lpstr>
      <vt:lpstr>VOC Urbano 60km</vt:lpstr>
      <vt:lpstr>VOC Rural 110km</vt:lpstr>
      <vt:lpstr>Sensibilidad Base-Alt I </vt:lpstr>
      <vt:lpstr>Sensibilidad Base-Alt II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Beatriz Carnales</cp:lastModifiedBy>
  <dcterms:created xsi:type="dcterms:W3CDTF">2019-02-05T19:05:30Z</dcterms:created>
  <dcterms:modified xsi:type="dcterms:W3CDTF">2021-04-26T00:41:47Z</dcterms:modified>
</cp:coreProperties>
</file>