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5130" windowHeight="8115" tabRatio="797" activeTab="6"/>
  </bookViews>
  <sheets>
    <sheet name="SP 1 - ER" sheetId="1" r:id="rId1"/>
    <sheet name="SP 1 - ESP" sheetId="2" r:id="rId2"/>
    <sheet name="SP 1 - FF" sheetId="3" r:id="rId3"/>
    <sheet name="SP 2" sheetId="4" r:id="rId4"/>
    <sheet name="SP 3" sheetId="5" r:id="rId5"/>
    <sheet name="MODULOS" sheetId="6" r:id="rId6"/>
    <sheet name="Variaciones-SP2-ER" sheetId="7" r:id="rId7"/>
    <sheet name="Variaciones-SP3-ES" sheetId="8" r:id="rId8"/>
  </sheets>
  <definedNames/>
  <calcPr fullCalcOnLoad="1"/>
</workbook>
</file>

<file path=xl/comments6.xml><?xml version="1.0" encoding="utf-8"?>
<comments xmlns="http://schemas.openxmlformats.org/spreadsheetml/2006/main">
  <authors>
    <author>Usuario</author>
    <author>admin</author>
  </authors>
  <commentList>
    <comment ref="C35" authorId="0">
      <text>
        <r>
          <rPr>
            <sz val="9"/>
            <rFont val="Tahoma"/>
            <family val="2"/>
          </rPr>
          <t>En situación presupuestada, el Valor Neto Contable del Avión es 0 (V.B = Am.Acum)</t>
        </r>
      </text>
    </comment>
    <comment ref="D35" authorId="0">
      <text>
        <r>
          <rPr>
            <sz val="9"/>
            <rFont val="Tahoma"/>
            <family val="2"/>
          </rPr>
          <t>En situación real, al no haber venta, no hay Costo de Venta</t>
        </r>
      </text>
    </comment>
    <comment ref="H54" authorId="0">
      <text>
        <r>
          <rPr>
            <sz val="9"/>
            <rFont val="Tahoma"/>
            <family val="2"/>
          </rPr>
          <t>Totalmente amortizada</t>
        </r>
      </text>
    </comment>
    <comment ref="H55" authorId="0">
      <text>
        <r>
          <rPr>
            <sz val="9"/>
            <rFont val="Tahoma"/>
            <family val="2"/>
          </rPr>
          <t>No se recibió aporte de avion</t>
        </r>
      </text>
    </comment>
    <comment ref="D39" authorId="0">
      <text>
        <r>
          <rPr>
            <sz val="9"/>
            <rFont val="Tahoma"/>
            <family val="2"/>
          </rPr>
          <t>Dato de letra</t>
        </r>
      </text>
    </comment>
    <comment ref="C39" authorId="0">
      <text>
        <r>
          <rPr>
            <sz val="9"/>
            <rFont val="Tahoma"/>
            <family val="2"/>
          </rPr>
          <t>Dato de letra</t>
        </r>
      </text>
    </comment>
    <comment ref="C74" authorId="0">
      <text>
        <r>
          <rPr>
            <sz val="9"/>
            <rFont val="Tahoma"/>
            <family val="2"/>
          </rPr>
          <t>Aporte del avion</t>
        </r>
      </text>
    </comment>
    <comment ref="D74" authorId="0">
      <text>
        <r>
          <rPr>
            <sz val="9"/>
            <rFont val="Tahoma"/>
            <family val="2"/>
          </rPr>
          <t>Aporte en efectivo</t>
        </r>
      </text>
    </comment>
    <comment ref="D26" authorId="1">
      <text>
        <r>
          <rPr>
            <sz val="9"/>
            <rFont val="Tahoma"/>
            <family val="2"/>
          </rPr>
          <t>Dato de letra</t>
        </r>
      </text>
    </comment>
  </commentList>
</comments>
</file>

<file path=xl/sharedStrings.xml><?xml version="1.0" encoding="utf-8"?>
<sst xmlns="http://schemas.openxmlformats.org/spreadsheetml/2006/main" count="369" uniqueCount="191">
  <si>
    <t>Ventas</t>
  </si>
  <si>
    <t>Q real</t>
  </si>
  <si>
    <t>P real</t>
  </si>
  <si>
    <t>Costos</t>
  </si>
  <si>
    <t>Real</t>
  </si>
  <si>
    <t>Margen Bruto</t>
  </si>
  <si>
    <t>Gastos de Administración y Ventas</t>
  </si>
  <si>
    <t>Resultado Operativo</t>
  </si>
  <si>
    <t>Resultados Antes de Impuestos</t>
  </si>
  <si>
    <t>Resultado Neto</t>
  </si>
  <si>
    <t>Costo de Ventas</t>
  </si>
  <si>
    <t>Disponibilidades</t>
  </si>
  <si>
    <t>Créditos por Ventas</t>
  </si>
  <si>
    <t>Bienes de Uso</t>
  </si>
  <si>
    <t>Total Activo</t>
  </si>
  <si>
    <t>Proveedores</t>
  </si>
  <si>
    <t>Total Pasivo</t>
  </si>
  <si>
    <t>Capital</t>
  </si>
  <si>
    <t>Resultados Acumulados</t>
  </si>
  <si>
    <t>Total Patrimonio</t>
  </si>
  <si>
    <t>Total Pasivo y Patrimonio</t>
  </si>
  <si>
    <t>Capital de Trabajo</t>
  </si>
  <si>
    <t>Patrimonio</t>
  </si>
  <si>
    <t>Total Financiamiento</t>
  </si>
  <si>
    <t>Presup</t>
  </si>
  <si>
    <t>Resultado Antes de Intereses e Impuestos</t>
  </si>
  <si>
    <t>REAL USD</t>
  </si>
  <si>
    <t>PPTO USD</t>
  </si>
  <si>
    <t>Créditos por ventas</t>
  </si>
  <si>
    <t>Préstamo Financiero</t>
  </si>
  <si>
    <t>Amortización Acumulada</t>
  </si>
  <si>
    <t>Depreciaciones</t>
  </si>
  <si>
    <t>Sueldos y cargas sociales</t>
  </si>
  <si>
    <t>Insumos</t>
  </si>
  <si>
    <t>Estado de Resultados por el ejercicio finalizado el 31/07/2012</t>
  </si>
  <si>
    <t>Intereses perdidos</t>
  </si>
  <si>
    <t>Impuesto a la Renta (25%)</t>
  </si>
  <si>
    <t>Estado de Situación Patrimonial al 31/07/12</t>
  </si>
  <si>
    <t>Saldo Inicial</t>
  </si>
  <si>
    <t>Aporte del Avión</t>
  </si>
  <si>
    <t>Venta Avión 3</t>
  </si>
  <si>
    <t>Saldo final</t>
  </si>
  <si>
    <t>Ingresos por ventas</t>
  </si>
  <si>
    <t>Precio</t>
  </si>
  <si>
    <t>Cantidad</t>
  </si>
  <si>
    <t>Otros ingresos</t>
  </si>
  <si>
    <t>Presupuesto</t>
  </si>
  <si>
    <t>Costo unitario</t>
  </si>
  <si>
    <t>Total</t>
  </si>
  <si>
    <t>Venta del avión</t>
  </si>
  <si>
    <t>Costo de Venta Avión</t>
  </si>
  <si>
    <t>Nuevo Avión</t>
  </si>
  <si>
    <t>Intereses</t>
  </si>
  <si>
    <t>Préstamo al inicio</t>
  </si>
  <si>
    <t>Tasa</t>
  </si>
  <si>
    <t xml:space="preserve">Ventas mensuales </t>
  </si>
  <si>
    <t>Meses de Crédito</t>
  </si>
  <si>
    <t>Gastos mensuales</t>
  </si>
  <si>
    <t>Préstamo financiero</t>
  </si>
  <si>
    <t>Saldo inicial</t>
  </si>
  <si>
    <t>Devengamiento intereses</t>
  </si>
  <si>
    <t>Pago intereses</t>
  </si>
  <si>
    <t>Amortización de capital</t>
  </si>
  <si>
    <t>Aportes</t>
  </si>
  <si>
    <t>Resultado del Ejercicio</t>
  </si>
  <si>
    <t>RAII presupuestado</t>
  </si>
  <si>
    <t>Q presup</t>
  </si>
  <si>
    <t>P presup</t>
  </si>
  <si>
    <t>Ingresos</t>
  </si>
  <si>
    <t>RAII real</t>
  </si>
  <si>
    <t>Bienes de Uso Netos</t>
  </si>
  <si>
    <t>Total Inversión</t>
  </si>
  <si>
    <t>INVERSIÓN</t>
  </si>
  <si>
    <t>FINANCIAMIENTO</t>
  </si>
  <si>
    <t>VARIACIÓN</t>
  </si>
  <si>
    <t>Préstamo Financiero Ppto</t>
  </si>
  <si>
    <t xml:space="preserve"> + Variación Disponibilidades</t>
  </si>
  <si>
    <t xml:space="preserve"> + Variación Cap de Trab</t>
  </si>
  <si>
    <t xml:space="preserve"> + Variación BdeU Netos</t>
  </si>
  <si>
    <t xml:space="preserve"> - Variación Patrimonio</t>
  </si>
  <si>
    <t>Préstamo Financiero Real</t>
  </si>
  <si>
    <t>Avion 1</t>
  </si>
  <si>
    <t>Avion 2</t>
  </si>
  <si>
    <t>Avion 3</t>
  </si>
  <si>
    <t>Valor</t>
  </si>
  <si>
    <t>V. Util</t>
  </si>
  <si>
    <t>Otros bienes</t>
  </si>
  <si>
    <t>Amortizacion</t>
  </si>
  <si>
    <t>Gastos anuales</t>
  </si>
  <si>
    <t>hubo más costo en la realidad de lo que estaba previsto</t>
  </si>
  <si>
    <t>hubo más ingresos en la realidad de lo que estaba previsto</t>
  </si>
  <si>
    <t>hubo más GAV en la realidad de lo que estaba previsto</t>
  </si>
  <si>
    <t>Desviación mixta</t>
  </si>
  <si>
    <t>Desviación económica</t>
  </si>
  <si>
    <t>Desviación técnica</t>
  </si>
  <si>
    <t>Desviación Costo de Ventas</t>
  </si>
  <si>
    <t>Desviación Ingresos por Ventas</t>
  </si>
  <si>
    <t>Desviación precio</t>
  </si>
  <si>
    <t>(P pr- P re)</t>
  </si>
  <si>
    <t>(Q pr - Q re)</t>
  </si>
  <si>
    <t>Desviación volumen</t>
  </si>
  <si>
    <t>RAII en ER</t>
  </si>
  <si>
    <t>OK, cierra contra Préstamos Financieros Reales</t>
  </si>
  <si>
    <t>OK, verifica contra RAII en ER</t>
  </si>
  <si>
    <t>Desviación Gastos de Estructura (*)</t>
  </si>
  <si>
    <t>PROYECCIONES PARA EL ER y ESP</t>
  </si>
  <si>
    <t>CICLO 1:</t>
  </si>
  <si>
    <t>CICLO 2:</t>
  </si>
  <si>
    <t>En este ejercicio por simplicidad, se supone que las compras de mercaderia son al contado.</t>
  </si>
  <si>
    <t>Las ventas son a credito 30 dias.</t>
  </si>
  <si>
    <t>CICLO 3:</t>
  </si>
  <si>
    <t>En este caso el Ciclo 3 son Otros ingresos e Intereses, ya que por simplicidad no hay mas partidas para calcular en el ER (salvo depreciaciones que vienen en el ciclo de inversiones).</t>
  </si>
  <si>
    <t>CICLO 4:</t>
  </si>
  <si>
    <t>CICLO 5:</t>
  </si>
  <si>
    <t>CICLO 6:</t>
  </si>
  <si>
    <t>CICLO 7:</t>
  </si>
  <si>
    <t>(*) Incluye Gastos de Administración y Ventas y Depreciaciones</t>
  </si>
  <si>
    <t>Desviación Otros Ingresos</t>
  </si>
  <si>
    <t>por lo que disminuye el resultado</t>
  </si>
  <si>
    <t>por lo que disminuye el resultado, en comparación con lo previsto</t>
  </si>
  <si>
    <t>por lo que aumenta el resultado, en comparación con lo previsto</t>
  </si>
  <si>
    <t>hubo menos ingresos (otros ingresos, porque no se vendió el avión) de lo que estaba previsto</t>
  </si>
  <si>
    <t>Total Asistencia Financiera</t>
  </si>
  <si>
    <t>Cobranzas</t>
  </si>
  <si>
    <t>Cobranzas flujo de fondos</t>
  </si>
  <si>
    <t>Pagos</t>
  </si>
  <si>
    <t>Pagos por cpas asoc al cto de vtas</t>
  </si>
  <si>
    <t>Pagos por cpas asoc a gtos mensuales</t>
  </si>
  <si>
    <t>Venta de bienes de uso</t>
  </si>
  <si>
    <t>Cobranza de ventas credito</t>
  </si>
  <si>
    <t>Pago de proveedores</t>
  </si>
  <si>
    <t>Pago de intereses</t>
  </si>
  <si>
    <t>Pago de sueldos y cargas sociales</t>
  </si>
  <si>
    <t>Pago de préstamos</t>
  </si>
  <si>
    <t>Aportes de capital</t>
  </si>
  <si>
    <t>Saldo Inicial Disponible</t>
  </si>
  <si>
    <t>Saldo Final Disponible</t>
  </si>
  <si>
    <t>Pago de impuestos</t>
  </si>
  <si>
    <t>Total Cobranzas</t>
  </si>
  <si>
    <t>Total Pagos</t>
  </si>
  <si>
    <t>Disponibilidades: salen del Flujo de Fondos</t>
  </si>
  <si>
    <t>FLUJO DE CAJA</t>
  </si>
  <si>
    <t>Costo</t>
  </si>
  <si>
    <t>Venta Avion 3</t>
  </si>
  <si>
    <t>Costo - está totalmente amortizado</t>
  </si>
  <si>
    <t>Datos</t>
  </si>
  <si>
    <t>Cuadro de Bienes de Uso</t>
  </si>
  <si>
    <t>Bienes</t>
  </si>
  <si>
    <t>Vida Útil</t>
  </si>
  <si>
    <t>Valor Bruto</t>
  </si>
  <si>
    <t>Amort. Ac.</t>
  </si>
  <si>
    <t>Amort. Ej.</t>
  </si>
  <si>
    <t>Otros Bs.</t>
  </si>
  <si>
    <t>Nuevo Avion</t>
  </si>
  <si>
    <t>Total Real</t>
  </si>
  <si>
    <t>Total Ptado</t>
  </si>
  <si>
    <t>Capital Inicial</t>
  </si>
  <si>
    <t>Tasa 5% sobre saldo Inicial</t>
  </si>
  <si>
    <t>30 dias de plazo = venta del último mes</t>
  </si>
  <si>
    <t>Dato</t>
  </si>
  <si>
    <t>60 dìas de plazo</t>
  </si>
  <si>
    <t>Amort. 60%</t>
  </si>
  <si>
    <t>Saldo Final</t>
  </si>
  <si>
    <t>Aporte para el Avion</t>
  </si>
  <si>
    <t>Venta Avion</t>
  </si>
  <si>
    <t>Total Ingresos</t>
  </si>
  <si>
    <t>Pago de proveedores mercaderia</t>
  </si>
  <si>
    <t>Pago proveedores gastos</t>
  </si>
  <si>
    <t>Total Egresos</t>
  </si>
  <si>
    <t>Aportes de Capital</t>
  </si>
  <si>
    <t>(112.000 - 100.000)* 800</t>
  </si>
  <si>
    <t>(720-800)*112000</t>
  </si>
  <si>
    <t>Q Real</t>
  </si>
  <si>
    <t>Q Ptado</t>
  </si>
  <si>
    <t>Desvio</t>
  </si>
  <si>
    <t>Desviación Volumen</t>
  </si>
  <si>
    <t>Desviación Precio</t>
  </si>
  <si>
    <t>(450-490)*112000</t>
  </si>
  <si>
    <t>(450-490)*(100.000-112000)</t>
  </si>
  <si>
    <t>(100.000 - 112.000)* 490</t>
  </si>
  <si>
    <t>P Real - 720 y 490</t>
  </si>
  <si>
    <t>P Ptado - 800 y 450</t>
  </si>
  <si>
    <t>`Ptado - Real</t>
  </si>
  <si>
    <t>Resultado Real</t>
  </si>
  <si>
    <t>Ptado</t>
  </si>
  <si>
    <t>ok</t>
  </si>
  <si>
    <t>Caja</t>
  </si>
  <si>
    <t>Estado de Resultados</t>
  </si>
  <si>
    <t>Estado de Situación</t>
  </si>
  <si>
    <t>Creditos por ventas</t>
  </si>
  <si>
    <t>Resultado Ptado AII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</si>
</sst>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\-&quot;$U&quot;\ #,##0"/>
    <numFmt numFmtId="165" formatCode="&quot;$U&quot;\ #,##0;[Red]\-&quot;$U&quot;\ #,##0"/>
    <numFmt numFmtId="166" formatCode="&quot;$U&quot;\ #,##0.00;\-&quot;$U&quot;\ #,##0.00"/>
    <numFmt numFmtId="167" formatCode="&quot;$U&quot;\ #,##0.00;[Red]\-&quot;$U&quot;\ #,##0.00"/>
    <numFmt numFmtId="168" formatCode="_-&quot;$U&quot;\ * #,##0_-;\-&quot;$U&quot;\ * #,##0_-;_-&quot;$U&quot;\ * &quot;-&quot;_-;_-@_-"/>
    <numFmt numFmtId="169" formatCode="_-* #,##0_-;\-* #,##0_-;_-* &quot;-&quot;_-;_-@_-"/>
    <numFmt numFmtId="170" formatCode="_-&quot;$U&quot;\ * #,##0.00_-;\-&quot;$U&quot;\ * #,##0.00_-;_-&quot;$U&quot;\ * &quot;-&quot;??_-;_-@_-"/>
    <numFmt numFmtId="171" formatCode="_-* #,##0.00_-;\-* #,##0.00_-;_-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U&quot;\ #,##0;&quot;$U&quot;\ \-#,##0"/>
    <numFmt numFmtId="187" formatCode="&quot;$U&quot;\ #,##0;[Red]&quot;$U&quot;\ \-#,##0"/>
    <numFmt numFmtId="188" formatCode="&quot;$U&quot;\ #,##0.00;&quot;$U&quot;\ \-#,##0.00"/>
    <numFmt numFmtId="189" formatCode="&quot;$U&quot;\ #,##0.00;[Red]&quot;$U&quot;\ \-#,##0.00"/>
    <numFmt numFmtId="190" formatCode="_ &quot;$U&quot;\ * #,##0_ ;_ &quot;$U&quot;\ * \-#,##0_ ;_ &quot;$U&quot;\ * &quot;-&quot;_ ;_ @_ "/>
    <numFmt numFmtId="191" formatCode="_ * #,##0_ ;_ * \-#,##0_ ;_ * &quot;-&quot;_ ;_ @_ "/>
    <numFmt numFmtId="192" formatCode="_ &quot;$U&quot;\ * #,##0.00_ ;_ &quot;$U&quot;\ * \-#,##0.00_ ;_ &quot;$U&quot;\ * &quot;-&quot;??_ ;_ @_ "/>
    <numFmt numFmtId="193" formatCode="_ * #,##0.00_ ;_ * \-#,##0.00_ ;_ * &quot;-&quot;??_ ;_ @_ "/>
    <numFmt numFmtId="194" formatCode="_ * #,##0_ ;_ * \-#,##0_ ;_ * &quot;-&quot;??_ ;_ @_ "/>
    <numFmt numFmtId="195" formatCode="0.0"/>
    <numFmt numFmtId="196" formatCode="0.0%"/>
    <numFmt numFmtId="197" formatCode="#,##0_ ;[Red]\-#,##0\ "/>
    <numFmt numFmtId="198" formatCode="_ * #,##0.0000_ ;_ * \-#,##0.0000_ ;_ * &quot;-&quot;??_ ;_ @_ "/>
    <numFmt numFmtId="199" formatCode="#,##0_ ;\-#,##0\ "/>
    <numFmt numFmtId="200" formatCode="0.000"/>
    <numFmt numFmtId="201" formatCode="_ * #,##0.0000000_ ;_ * \-#,##0.0000000_ ;_ * &quot;-&quot;??_ ;_ @_ "/>
    <numFmt numFmtId="202" formatCode="0.0000"/>
    <numFmt numFmtId="203" formatCode="#,##0.0000000000"/>
    <numFmt numFmtId="204" formatCode="_ * #,##0.000000000_ ;_ * \-#,##0.000000000_ ;_ * &quot;-&quot;??_ ;_ @_ "/>
    <numFmt numFmtId="205" formatCode="#,##0.00000000"/>
    <numFmt numFmtId="206" formatCode="0.0000000"/>
    <numFmt numFmtId="207" formatCode="#,##0.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(* #,##0_);_(* \(#,##0\);_(* &quot;-&quot;??_);_(@_)"/>
    <numFmt numFmtId="213" formatCode="_-* #,##0\ _€_-;\-* #,##0\ _€_-;_-* &quot;-&quot;??\ _€_-;_-@_-"/>
    <numFmt numFmtId="214" formatCode="_ * #,##0.0_ ;_ * \-#,##0.0_ ;_ * &quot;-&quot;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double"/>
      <bottom style="thin"/>
    </border>
    <border>
      <left style="medium"/>
      <right/>
      <top>
        <color indexed="63"/>
      </top>
      <bottom style="double"/>
    </border>
    <border>
      <left style="medium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19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21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212" fontId="0" fillId="0" borderId="0" xfId="48" applyNumberFormat="1" applyFont="1" applyFill="1" applyBorder="1" applyAlignment="1">
      <alignment/>
    </xf>
    <xf numFmtId="212" fontId="2" fillId="0" borderId="0" xfId="48" applyNumberFormat="1" applyFont="1" applyFill="1" applyBorder="1" applyAlignment="1">
      <alignment/>
    </xf>
    <xf numFmtId="3" fontId="0" fillId="0" borderId="0" xfId="48" applyNumberFormat="1" applyFont="1" applyFill="1" applyBorder="1" applyAlignment="1">
      <alignment/>
    </xf>
    <xf numFmtId="21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12" fontId="2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194" fontId="0" fillId="32" borderId="0" xfId="48" applyNumberFormat="1" applyFont="1" applyFill="1" applyAlignment="1">
      <alignment/>
    </xf>
    <xf numFmtId="194" fontId="0" fillId="32" borderId="0" xfId="48" applyNumberFormat="1" applyFont="1" applyFill="1" applyAlignment="1">
      <alignment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2" fillId="32" borderId="14" xfId="0" applyFont="1" applyFill="1" applyBorder="1" applyAlignment="1">
      <alignment/>
    </xf>
    <xf numFmtId="3" fontId="0" fillId="32" borderId="15" xfId="48" applyNumberFormat="1" applyFont="1" applyFill="1" applyBorder="1" applyAlignment="1">
      <alignment/>
    </xf>
    <xf numFmtId="0" fontId="2" fillId="32" borderId="16" xfId="0" applyFont="1" applyFill="1" applyBorder="1" applyAlignment="1">
      <alignment/>
    </xf>
    <xf numFmtId="194" fontId="2" fillId="32" borderId="11" xfId="48" applyNumberFormat="1" applyFont="1" applyFill="1" applyBorder="1" applyAlignment="1">
      <alignment/>
    </xf>
    <xf numFmtId="194" fontId="2" fillId="32" borderId="11" xfId="48" applyNumberFormat="1" applyFont="1" applyFill="1" applyBorder="1" applyAlignment="1">
      <alignment horizontal="center"/>
    </xf>
    <xf numFmtId="194" fontId="0" fillId="32" borderId="11" xfId="48" applyNumberFormat="1" applyFont="1" applyFill="1" applyBorder="1" applyAlignment="1">
      <alignment/>
    </xf>
    <xf numFmtId="194" fontId="2" fillId="32" borderId="0" xfId="48" applyNumberFormat="1" applyFont="1" applyFill="1" applyAlignment="1">
      <alignment/>
    </xf>
    <xf numFmtId="194" fontId="0" fillId="32" borderId="0" xfId="48" applyNumberFormat="1" applyFont="1" applyFill="1" applyAlignment="1">
      <alignment horizontal="left" indent="1"/>
    </xf>
    <xf numFmtId="193" fontId="0" fillId="32" borderId="0" xfId="48" applyFont="1" applyFill="1" applyAlignment="1">
      <alignment/>
    </xf>
    <xf numFmtId="194" fontId="6" fillId="32" borderId="0" xfId="48" applyNumberFormat="1" applyFont="1" applyFill="1" applyAlignment="1">
      <alignment/>
    </xf>
    <xf numFmtId="3" fontId="0" fillId="0" borderId="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2" fillId="0" borderId="22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Border="1" applyAlignment="1">
      <alignment/>
    </xf>
    <xf numFmtId="3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5" xfId="0" applyNumberFormat="1" applyBorder="1" applyAlignment="1">
      <alignment/>
    </xf>
    <xf numFmtId="212" fontId="0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3" fontId="9" fillId="33" borderId="0" xfId="0" applyNumberFormat="1" applyFont="1" applyFill="1" applyAlignment="1">
      <alignment horizontal="right"/>
    </xf>
    <xf numFmtId="194" fontId="9" fillId="0" borderId="0" xfId="48" applyNumberFormat="1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194" fontId="9" fillId="0" borderId="10" xfId="48" applyNumberFormat="1" applyFont="1" applyFill="1" applyBorder="1" applyAlignment="1">
      <alignment/>
    </xf>
    <xf numFmtId="194" fontId="8" fillId="0" borderId="10" xfId="48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3" fontId="9" fillId="0" borderId="28" xfId="0" applyNumberFormat="1" applyFont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9" fontId="10" fillId="0" borderId="0" xfId="0" applyNumberFormat="1" applyFont="1" applyBorder="1" applyAlignment="1">
      <alignment horizontal="right"/>
    </xf>
    <xf numFmtId="9" fontId="10" fillId="0" borderId="30" xfId="0" applyNumberFormat="1" applyFont="1" applyBorder="1" applyAlignment="1">
      <alignment horizontal="right"/>
    </xf>
    <xf numFmtId="194" fontId="9" fillId="0" borderId="28" xfId="48" applyNumberFormat="1" applyFont="1" applyFill="1" applyBorder="1" applyAlignment="1">
      <alignment/>
    </xf>
    <xf numFmtId="194" fontId="9" fillId="0" borderId="29" xfId="48" applyNumberFormat="1" applyFont="1" applyFill="1" applyBorder="1" applyAlignment="1">
      <alignment/>
    </xf>
    <xf numFmtId="194" fontId="9" fillId="0" borderId="0" xfId="48" applyNumberFormat="1" applyFont="1" applyFill="1" applyBorder="1" applyAlignment="1">
      <alignment/>
    </xf>
    <xf numFmtId="194" fontId="9" fillId="0" borderId="30" xfId="48" applyNumberFormat="1" applyFont="1" applyFill="1" applyBorder="1" applyAlignment="1">
      <alignment/>
    </xf>
    <xf numFmtId="194" fontId="8" fillId="0" borderId="13" xfId="48" applyNumberFormat="1" applyFont="1" applyFill="1" applyBorder="1" applyAlignment="1">
      <alignment/>
    </xf>
    <xf numFmtId="194" fontId="9" fillId="0" borderId="13" xfId="48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194" fontId="9" fillId="0" borderId="31" xfId="48" applyNumberFormat="1" applyFont="1" applyFill="1" applyBorder="1" applyAlignment="1">
      <alignment/>
    </xf>
    <xf numFmtId="194" fontId="9" fillId="0" borderId="32" xfId="48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3" fontId="2" fillId="0" borderId="0" xfId="0" applyNumberFormat="1" applyFont="1" applyAlignment="1">
      <alignment/>
    </xf>
    <xf numFmtId="0" fontId="11" fillId="34" borderId="0" xfId="0" applyFont="1" applyFill="1" applyBorder="1" applyAlignment="1">
      <alignment horizontal="left"/>
    </xf>
    <xf numFmtId="212" fontId="2" fillId="34" borderId="0" xfId="48" applyNumberFormat="1" applyFont="1" applyFill="1" applyAlignment="1">
      <alignment/>
    </xf>
    <xf numFmtId="212" fontId="2" fillId="34" borderId="34" xfId="48" applyNumberFormat="1" applyFont="1" applyFill="1" applyBorder="1" applyAlignment="1">
      <alignment/>
    </xf>
    <xf numFmtId="0" fontId="1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213" fontId="0" fillId="34" borderId="0" xfId="48" applyNumberFormat="1" applyFont="1" applyFill="1" applyAlignment="1">
      <alignment/>
    </xf>
    <xf numFmtId="213" fontId="11" fillId="34" borderId="0" xfId="48" applyNumberFormat="1" applyFont="1" applyFill="1" applyAlignment="1">
      <alignment/>
    </xf>
    <xf numFmtId="213" fontId="0" fillId="34" borderId="0" xfId="48" applyNumberFormat="1" applyFont="1" applyFill="1" applyAlignment="1">
      <alignment/>
    </xf>
    <xf numFmtId="213" fontId="42" fillId="34" borderId="0" xfId="48" applyNumberFormat="1" applyFont="1" applyFill="1" applyAlignment="1">
      <alignment/>
    </xf>
    <xf numFmtId="213" fontId="11" fillId="34" borderId="11" xfId="48" applyNumberFormat="1" applyFont="1" applyFill="1" applyBorder="1" applyAlignment="1">
      <alignment/>
    </xf>
    <xf numFmtId="213" fontId="11" fillId="34" borderId="11" xfId="48" applyNumberFormat="1" applyFont="1" applyFill="1" applyBorder="1" applyAlignment="1">
      <alignment/>
    </xf>
    <xf numFmtId="194" fontId="9" fillId="0" borderId="0" xfId="48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16" xfId="0" applyFont="1" applyBorder="1" applyAlignment="1">
      <alignment/>
    </xf>
    <xf numFmtId="3" fontId="9" fillId="0" borderId="31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 horizontal="right"/>
    </xf>
    <xf numFmtId="213" fontId="0" fillId="34" borderId="0" xfId="48" applyNumberFormat="1" applyFont="1" applyFill="1" applyAlignment="1">
      <alignment/>
    </xf>
    <xf numFmtId="213" fontId="11" fillId="34" borderId="0" xfId="48" applyNumberFormat="1" applyFont="1" applyFill="1" applyBorder="1" applyAlignment="1">
      <alignment/>
    </xf>
    <xf numFmtId="213" fontId="11" fillId="34" borderId="0" xfId="48" applyNumberFormat="1" applyFont="1" applyFill="1" applyBorder="1" applyAlignment="1">
      <alignment/>
    </xf>
    <xf numFmtId="213" fontId="0" fillId="34" borderId="26" xfId="48" applyNumberFormat="1" applyFont="1" applyFill="1" applyBorder="1" applyAlignment="1">
      <alignment/>
    </xf>
    <xf numFmtId="213" fontId="0" fillId="34" borderId="26" xfId="48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213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12" fontId="0" fillId="0" borderId="36" xfId="48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/>
    </xf>
    <xf numFmtId="212" fontId="2" fillId="0" borderId="34" xfId="48" applyNumberFormat="1" applyFont="1" applyFill="1" applyBorder="1" applyAlignment="1">
      <alignment/>
    </xf>
    <xf numFmtId="3" fontId="0" fillId="0" borderId="15" xfId="48" applyNumberFormat="1" applyFont="1" applyFill="1" applyBorder="1" applyAlignment="1">
      <alignment/>
    </xf>
    <xf numFmtId="212" fontId="0" fillId="0" borderId="37" xfId="48" applyNumberFormat="1" applyFont="1" applyFill="1" applyBorder="1" applyAlignment="1">
      <alignment/>
    </xf>
    <xf numFmtId="212" fontId="2" fillId="0" borderId="36" xfId="48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212" fontId="2" fillId="0" borderId="38" xfId="48" applyNumberFormat="1" applyFont="1" applyFill="1" applyBorder="1" applyAlignment="1">
      <alignment/>
    </xf>
    <xf numFmtId="3" fontId="8" fillId="35" borderId="0" xfId="0" applyNumberFormat="1" applyFont="1" applyFill="1" applyBorder="1" applyAlignment="1">
      <alignment horizontal="right"/>
    </xf>
    <xf numFmtId="3" fontId="8" fillId="35" borderId="31" xfId="0" applyNumberFormat="1" applyFont="1" applyFill="1" applyBorder="1" applyAlignment="1">
      <alignment horizontal="right"/>
    </xf>
    <xf numFmtId="3" fontId="8" fillId="35" borderId="30" xfId="0" applyNumberFormat="1" applyFont="1" applyFill="1" applyBorder="1" applyAlignment="1">
      <alignment horizontal="right"/>
    </xf>
    <xf numFmtId="3" fontId="8" fillId="35" borderId="32" xfId="0" applyNumberFormat="1" applyFont="1" applyFill="1" applyBorder="1" applyAlignment="1">
      <alignment horizontal="right"/>
    </xf>
    <xf numFmtId="194" fontId="9" fillId="35" borderId="10" xfId="48" applyNumberFormat="1" applyFont="1" applyFill="1" applyBorder="1" applyAlignment="1">
      <alignment/>
    </xf>
    <xf numFmtId="194" fontId="8" fillId="35" borderId="10" xfId="48" applyNumberFormat="1" applyFont="1" applyFill="1" applyBorder="1" applyAlignment="1">
      <alignment/>
    </xf>
    <xf numFmtId="212" fontId="0" fillId="34" borderId="11" xfId="48" applyNumberFormat="1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212" fontId="2" fillId="34" borderId="36" xfId="48" applyNumberFormat="1" applyFont="1" applyFill="1" applyBorder="1" applyAlignment="1">
      <alignment/>
    </xf>
    <xf numFmtId="212" fontId="2" fillId="34" borderId="38" xfId="48" applyNumberFormat="1" applyFont="1" applyFill="1" applyBorder="1" applyAlignment="1">
      <alignment/>
    </xf>
    <xf numFmtId="194" fontId="2" fillId="32" borderId="17" xfId="48" applyNumberFormat="1" applyFont="1" applyFill="1" applyBorder="1" applyAlignment="1">
      <alignment horizontal="center"/>
    </xf>
    <xf numFmtId="194" fontId="2" fillId="32" borderId="18" xfId="48" applyNumberFormat="1" applyFont="1" applyFill="1" applyBorder="1" applyAlignment="1">
      <alignment horizontal="center"/>
    </xf>
    <xf numFmtId="194" fontId="2" fillId="32" borderId="19" xfId="48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94" fontId="8" fillId="0" borderId="10" xfId="48" applyNumberFormat="1" applyFont="1" applyFill="1" applyBorder="1" applyAlignment="1">
      <alignment horizontal="center"/>
    </xf>
    <xf numFmtId="194" fontId="3" fillId="0" borderId="30" xfId="48" applyNumberFormat="1" applyFont="1" applyFill="1" applyBorder="1" applyAlignment="1">
      <alignment horizontal="left" vertical="top" wrapText="1"/>
    </xf>
    <xf numFmtId="194" fontId="9" fillId="0" borderId="30" xfId="48" applyNumberFormat="1" applyFont="1" applyFill="1" applyBorder="1" applyAlignment="1">
      <alignment horizontal="left" vertical="top" wrapText="1"/>
    </xf>
    <xf numFmtId="212" fontId="0" fillId="36" borderId="0" xfId="48" applyNumberFormat="1" applyFont="1" applyFill="1" applyAlignment="1">
      <alignment/>
    </xf>
    <xf numFmtId="212" fontId="0" fillId="7" borderId="11" xfId="48" applyNumberFormat="1" applyFont="1" applyFill="1" applyBorder="1" applyAlignment="1">
      <alignment/>
    </xf>
    <xf numFmtId="194" fontId="2" fillId="32" borderId="0" xfId="48" applyNumberFormat="1" applyFont="1" applyFill="1" applyAlignment="1">
      <alignment horizontal="right"/>
    </xf>
    <xf numFmtId="194" fontId="2" fillId="32" borderId="10" xfId="48" applyNumberFormat="1" applyFont="1" applyFill="1" applyBorder="1" applyAlignment="1">
      <alignment/>
    </xf>
    <xf numFmtId="194" fontId="0" fillId="32" borderId="10" xfId="48" applyNumberFormat="1" applyFont="1" applyFill="1" applyBorder="1" applyAlignment="1">
      <alignment/>
    </xf>
    <xf numFmtId="212" fontId="0" fillId="37" borderId="0" xfId="48" applyNumberFormat="1" applyFont="1" applyFill="1" applyAlignment="1">
      <alignment/>
    </xf>
    <xf numFmtId="194" fontId="0" fillId="38" borderId="10" xfId="48" applyNumberFormat="1" applyFont="1" applyFill="1" applyBorder="1" applyAlignment="1">
      <alignment/>
    </xf>
    <xf numFmtId="212" fontId="0" fillId="38" borderId="0" xfId="48" applyNumberFormat="1" applyFont="1" applyFill="1" applyAlignment="1">
      <alignment/>
    </xf>
    <xf numFmtId="194" fontId="0" fillId="35" borderId="10" xfId="48" applyNumberFormat="1" applyFont="1" applyFill="1" applyBorder="1" applyAlignment="1">
      <alignment/>
    </xf>
    <xf numFmtId="212" fontId="0" fillId="35" borderId="11" xfId="48" applyNumberFormat="1" applyFont="1" applyFill="1" applyBorder="1" applyAlignment="1">
      <alignment/>
    </xf>
    <xf numFmtId="194" fontId="0" fillId="39" borderId="10" xfId="48" applyNumberFormat="1" applyFont="1" applyFill="1" applyBorder="1" applyAlignment="1">
      <alignment/>
    </xf>
    <xf numFmtId="212" fontId="0" fillId="39" borderId="11" xfId="48" applyNumberFormat="1" applyFont="1" applyFill="1" applyBorder="1" applyAlignment="1">
      <alignment/>
    </xf>
    <xf numFmtId="212" fontId="0" fillId="40" borderId="36" xfId="48" applyNumberFormat="1" applyFont="1" applyFill="1" applyBorder="1" applyAlignment="1">
      <alignment/>
    </xf>
    <xf numFmtId="194" fontId="0" fillId="37" borderId="0" xfId="48" applyNumberFormat="1" applyFont="1" applyFill="1" applyAlignment="1">
      <alignment/>
    </xf>
    <xf numFmtId="212" fontId="0" fillId="37" borderId="36" xfId="48" applyNumberFormat="1" applyFont="1" applyFill="1" applyBorder="1" applyAlignment="1">
      <alignment/>
    </xf>
    <xf numFmtId="194" fontId="2" fillId="35" borderId="10" xfId="48" applyNumberFormat="1" applyFont="1" applyFill="1" applyBorder="1" applyAlignment="1">
      <alignment/>
    </xf>
    <xf numFmtId="212" fontId="0" fillId="35" borderId="36" xfId="48" applyNumberFormat="1" applyFont="1" applyFill="1" applyBorder="1" applyAlignment="1">
      <alignment/>
    </xf>
    <xf numFmtId="212" fontId="0" fillId="35" borderId="37" xfId="48" applyNumberFormat="1" applyFont="1" applyFill="1" applyBorder="1" applyAlignment="1">
      <alignment/>
    </xf>
    <xf numFmtId="212" fontId="0" fillId="38" borderId="36" xfId="48" applyNumberFormat="1" applyFont="1" applyFill="1" applyBorder="1" applyAlignment="1">
      <alignment/>
    </xf>
    <xf numFmtId="212" fontId="0" fillId="17" borderId="37" xfId="48" applyNumberFormat="1" applyFont="1" applyFill="1" applyBorder="1" applyAlignment="1">
      <alignment/>
    </xf>
    <xf numFmtId="194" fontId="2" fillId="17" borderId="10" xfId="48" applyNumberFormat="1" applyFont="1" applyFill="1" applyBorder="1" applyAlignment="1">
      <alignment/>
    </xf>
    <xf numFmtId="194" fontId="2" fillId="39" borderId="10" xfId="48" applyNumberFormat="1" applyFont="1" applyFill="1" applyBorder="1" applyAlignment="1">
      <alignment/>
    </xf>
    <xf numFmtId="194" fontId="0" fillId="17" borderId="10" xfId="48" applyNumberFormat="1" applyFont="1" applyFill="1" applyBorder="1" applyAlignment="1">
      <alignment/>
    </xf>
    <xf numFmtId="194" fontId="0" fillId="40" borderId="10" xfId="48" applyNumberFormat="1" applyFont="1" applyFill="1" applyBorder="1" applyAlignment="1">
      <alignment/>
    </xf>
    <xf numFmtId="194" fontId="2" fillId="41" borderId="10" xfId="48" applyNumberFormat="1" applyFont="1" applyFill="1" applyBorder="1" applyAlignment="1">
      <alignment/>
    </xf>
    <xf numFmtId="212" fontId="0" fillId="42" borderId="37" xfId="48" applyNumberFormat="1" applyFont="1" applyFill="1" applyBorder="1" applyAlignment="1">
      <alignment/>
    </xf>
    <xf numFmtId="212" fontId="0" fillId="11" borderId="36" xfId="48" applyNumberFormat="1" applyFont="1" applyFill="1" applyBorder="1" applyAlignment="1">
      <alignment/>
    </xf>
    <xf numFmtId="213" fontId="11" fillId="37" borderId="0" xfId="48" applyNumberFormat="1" applyFont="1" applyFill="1" applyBorder="1" applyAlignment="1">
      <alignment/>
    </xf>
    <xf numFmtId="194" fontId="2" fillId="32" borderId="12" xfId="48" applyNumberFormat="1" applyFont="1" applyFill="1" applyBorder="1" applyAlignment="1">
      <alignment/>
    </xf>
    <xf numFmtId="194" fontId="0" fillId="32" borderId="28" xfId="48" applyNumberFormat="1" applyFont="1" applyFill="1" applyBorder="1" applyAlignment="1">
      <alignment/>
    </xf>
    <xf numFmtId="194" fontId="2" fillId="32" borderId="39" xfId="48" applyNumberFormat="1" applyFont="1" applyFill="1" applyBorder="1" applyAlignment="1">
      <alignment/>
    </xf>
    <xf numFmtId="194" fontId="2" fillId="32" borderId="40" xfId="48" applyNumberFormat="1" applyFont="1" applyFill="1" applyBorder="1" applyAlignment="1">
      <alignment/>
    </xf>
    <xf numFmtId="194" fontId="0" fillId="32" borderId="13" xfId="48" applyNumberFormat="1" applyFont="1" applyFill="1" applyBorder="1" applyAlignment="1">
      <alignment/>
    </xf>
    <xf numFmtId="194" fontId="0" fillId="32" borderId="0" xfId="48" applyNumberFormat="1" applyFont="1" applyFill="1" applyBorder="1" applyAlignment="1">
      <alignment/>
    </xf>
    <xf numFmtId="194" fontId="0" fillId="32" borderId="30" xfId="48" applyNumberFormat="1" applyFont="1" applyFill="1" applyBorder="1" applyAlignment="1">
      <alignment/>
    </xf>
    <xf numFmtId="194" fontId="2" fillId="32" borderId="13" xfId="48" applyNumberFormat="1" applyFont="1" applyFill="1" applyBorder="1" applyAlignment="1">
      <alignment/>
    </xf>
    <xf numFmtId="194" fontId="2" fillId="32" borderId="0" xfId="48" applyNumberFormat="1" applyFont="1" applyFill="1" applyBorder="1" applyAlignment="1">
      <alignment/>
    </xf>
    <xf numFmtId="194" fontId="2" fillId="32" borderId="41" xfId="48" applyNumberFormat="1" applyFont="1" applyFill="1" applyBorder="1" applyAlignment="1">
      <alignment/>
    </xf>
    <xf numFmtId="194" fontId="0" fillId="32" borderId="41" xfId="48" applyNumberFormat="1" applyFont="1" applyFill="1" applyBorder="1" applyAlignment="1">
      <alignment/>
    </xf>
    <xf numFmtId="213" fontId="0" fillId="34" borderId="13" xfId="48" applyNumberFormat="1" applyFont="1" applyFill="1" applyBorder="1" applyAlignment="1">
      <alignment/>
    </xf>
    <xf numFmtId="213" fontId="11" fillId="34" borderId="13" xfId="48" applyNumberFormat="1" applyFont="1" applyFill="1" applyBorder="1" applyAlignment="1">
      <alignment/>
    </xf>
    <xf numFmtId="194" fontId="2" fillId="32" borderId="16" xfId="48" applyNumberFormat="1" applyFont="1" applyFill="1" applyBorder="1" applyAlignment="1">
      <alignment/>
    </xf>
    <xf numFmtId="194" fontId="0" fillId="32" borderId="31" xfId="48" applyNumberFormat="1" applyFont="1" applyFill="1" applyBorder="1" applyAlignment="1">
      <alignment/>
    </xf>
    <xf numFmtId="194" fontId="2" fillId="32" borderId="30" xfId="48" applyNumberFormat="1" applyFont="1" applyFill="1" applyBorder="1" applyAlignment="1">
      <alignment/>
    </xf>
    <xf numFmtId="194" fontId="2" fillId="43" borderId="42" xfId="48" applyNumberFormat="1" applyFont="1" applyFill="1" applyBorder="1" applyAlignment="1">
      <alignment/>
    </xf>
    <xf numFmtId="194" fontId="2" fillId="43" borderId="43" xfId="48" applyNumberFormat="1" applyFont="1" applyFill="1" applyBorder="1" applyAlignment="1">
      <alignment/>
    </xf>
    <xf numFmtId="212" fontId="0" fillId="43" borderId="36" xfId="48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194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194" fontId="0" fillId="0" borderId="0" xfId="48" applyNumberFormat="1" applyFont="1" applyAlignment="1">
      <alignment/>
    </xf>
    <xf numFmtId="0" fontId="0" fillId="43" borderId="23" xfId="0" applyFill="1" applyBorder="1" applyAlignment="1">
      <alignment/>
    </xf>
    <xf numFmtId="0" fontId="0" fillId="43" borderId="0" xfId="0" applyFill="1" applyAlignment="1">
      <alignment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0" borderId="0" xfId="0" applyAlignment="1">
      <alignment horizontal="right"/>
    </xf>
    <xf numFmtId="0" fontId="0" fillId="37" borderId="23" xfId="0" applyFill="1" applyBorder="1" applyAlignment="1">
      <alignment/>
    </xf>
    <xf numFmtId="0" fontId="0" fillId="37" borderId="25" xfId="0" applyFill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194" fontId="0" fillId="0" borderId="26" xfId="48" applyNumberFormat="1" applyFont="1" applyBorder="1" applyAlignment="1">
      <alignment/>
    </xf>
    <xf numFmtId="212" fontId="0" fillId="0" borderId="26" xfId="0" applyNumberFormat="1" applyBorder="1" applyAlignment="1">
      <alignment/>
    </xf>
    <xf numFmtId="212" fontId="2" fillId="44" borderId="0" xfId="0" applyNumberFormat="1" applyFont="1" applyFill="1" applyAlignment="1">
      <alignment/>
    </xf>
    <xf numFmtId="194" fontId="0" fillId="44" borderId="0" xfId="48" applyNumberFormat="1" applyFont="1" applyFill="1" applyAlignment="1">
      <alignment/>
    </xf>
    <xf numFmtId="212" fontId="0" fillId="44" borderId="26" xfId="0" applyNumberFormat="1" applyFill="1" applyBorder="1" applyAlignment="1">
      <alignment/>
    </xf>
    <xf numFmtId="194" fontId="0" fillId="44" borderId="26" xfId="48" applyNumberFormat="1" applyFont="1" applyFill="1" applyBorder="1" applyAlignment="1">
      <alignment/>
    </xf>
    <xf numFmtId="194" fontId="0" fillId="44" borderId="0" xfId="0" applyNumberFormat="1" applyFill="1" applyAlignment="1">
      <alignment/>
    </xf>
    <xf numFmtId="212" fontId="0" fillId="44" borderId="0" xfId="0" applyNumberFormat="1" applyFill="1" applyAlignment="1">
      <alignment/>
    </xf>
    <xf numFmtId="194" fontId="0" fillId="0" borderId="26" xfId="0" applyNumberFormat="1" applyBorder="1" applyAlignment="1">
      <alignment/>
    </xf>
    <xf numFmtId="3" fontId="0" fillId="0" borderId="0" xfId="0" applyNumberFormat="1" applyAlignment="1">
      <alignment horizontal="left"/>
    </xf>
    <xf numFmtId="194" fontId="2" fillId="36" borderId="10" xfId="48" applyNumberFormat="1" applyFont="1" applyFill="1" applyBorder="1" applyAlignment="1">
      <alignment/>
    </xf>
    <xf numFmtId="194" fontId="2" fillId="7" borderId="10" xfId="48" applyNumberFormat="1" applyFont="1" applyFill="1" applyBorder="1" applyAlignment="1">
      <alignment/>
    </xf>
    <xf numFmtId="212" fontId="48" fillId="34" borderId="0" xfId="48" applyNumberFormat="1" applyFont="1" applyFill="1" applyAlignment="1">
      <alignment/>
    </xf>
    <xf numFmtId="212" fontId="48" fillId="0" borderId="0" xfId="0" applyNumberFormat="1" applyFont="1" applyAlignment="1">
      <alignment/>
    </xf>
    <xf numFmtId="212" fontId="49" fillId="34" borderId="0" xfId="48" applyNumberFormat="1" applyFont="1" applyFill="1" applyAlignment="1">
      <alignment/>
    </xf>
    <xf numFmtId="194" fontId="49" fillId="0" borderId="0" xfId="0" applyNumberFormat="1" applyFont="1" applyAlignment="1">
      <alignment/>
    </xf>
    <xf numFmtId="212" fontId="50" fillId="0" borderId="37" xfId="48" applyNumberFormat="1" applyFont="1" applyFill="1" applyBorder="1" applyAlignment="1">
      <alignment/>
    </xf>
    <xf numFmtId="212" fontId="49" fillId="0" borderId="0" xfId="0" applyNumberFormat="1" applyFont="1" applyAlignment="1">
      <alignment/>
    </xf>
    <xf numFmtId="212" fontId="51" fillId="0" borderId="37" xfId="48" applyNumberFormat="1" applyFont="1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36" xfId="0" applyFill="1" applyBorder="1" applyAlignment="1">
      <alignment/>
    </xf>
    <xf numFmtId="0" fontId="0" fillId="43" borderId="45" xfId="0" applyFill="1" applyBorder="1" applyAlignment="1">
      <alignment/>
    </xf>
    <xf numFmtId="0" fontId="0" fillId="36" borderId="0" xfId="0" applyFill="1" applyBorder="1" applyAlignment="1">
      <alignment/>
    </xf>
    <xf numFmtId="212" fontId="2" fillId="40" borderId="0" xfId="0" applyNumberFormat="1" applyFont="1" applyFill="1" applyAlignment="1">
      <alignment/>
    </xf>
    <xf numFmtId="212" fontId="0" fillId="15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104775</xdr:rowOff>
    </xdr:from>
    <xdr:to>
      <xdr:col>4</xdr:col>
      <xdr:colOff>952500</xdr:colOff>
      <xdr:row>4</xdr:row>
      <xdr:rowOff>104775</xdr:rowOff>
    </xdr:to>
    <xdr:sp>
      <xdr:nvSpPr>
        <xdr:cNvPr id="1" name="Conector recto de flecha 2"/>
        <xdr:cNvSpPr>
          <a:spLocks/>
        </xdr:cNvSpPr>
      </xdr:nvSpPr>
      <xdr:spPr>
        <a:xfrm flipV="1">
          <a:off x="3619500" y="771525"/>
          <a:ext cx="8858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3</xdr:col>
      <xdr:colOff>742950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00425" y="1495425"/>
          <a:ext cx="714375" cy="504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17</xdr:row>
      <xdr:rowOff>9525</xdr:rowOff>
    </xdr:from>
    <xdr:to>
      <xdr:col>6</xdr:col>
      <xdr:colOff>438150</xdr:colOff>
      <xdr:row>21</xdr:row>
      <xdr:rowOff>76200</xdr:rowOff>
    </xdr:to>
    <xdr:sp>
      <xdr:nvSpPr>
        <xdr:cNvPr id="2" name="AutoShape 2"/>
        <xdr:cNvSpPr>
          <a:spLocks/>
        </xdr:cNvSpPr>
      </xdr:nvSpPr>
      <xdr:spPr>
        <a:xfrm rot="5400000" flipV="1">
          <a:off x="6115050" y="2857500"/>
          <a:ext cx="914400" cy="7143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.00390625" style="19" customWidth="1"/>
    <col min="2" max="2" width="40.7109375" style="19" bestFit="1" customWidth="1"/>
    <col min="3" max="3" width="13.7109375" style="19" customWidth="1"/>
    <col min="4" max="4" width="13.421875" style="19" bestFit="1" customWidth="1"/>
    <col min="5" max="5" width="11.8515625" style="19" bestFit="1" customWidth="1"/>
    <col min="6" max="7" width="11.421875" style="19" customWidth="1"/>
    <col min="8" max="9" width="12.57421875" style="19" bestFit="1" customWidth="1"/>
    <col min="10" max="16384" width="11.421875" style="19" customWidth="1"/>
  </cols>
  <sheetData>
    <row r="2" spans="2:4" ht="12.75">
      <c r="B2" s="152" t="s">
        <v>34</v>
      </c>
      <c r="C2" s="153"/>
      <c r="D2" s="154"/>
    </row>
    <row r="3" ht="8.25" customHeight="1">
      <c r="B3" s="20"/>
    </row>
    <row r="4" spans="2:4" ht="13.5" thickBot="1">
      <c r="B4" s="28"/>
      <c r="C4" s="29" t="s">
        <v>27</v>
      </c>
      <c r="D4" s="29" t="s">
        <v>26</v>
      </c>
    </row>
    <row r="5" ht="8.25" customHeight="1" thickTop="1"/>
    <row r="6" spans="2:5" ht="12.75">
      <c r="B6" s="19" t="s">
        <v>0</v>
      </c>
      <c r="C6" s="163">
        <f>+MODULOS!C6</f>
        <v>80000000</v>
      </c>
      <c r="D6" s="163">
        <f>+MODULOS!D6</f>
        <v>80640000</v>
      </c>
      <c r="E6" s="19" t="s">
        <v>185</v>
      </c>
    </row>
    <row r="7" spans="2:5" ht="13.5" thickBot="1">
      <c r="B7" s="30" t="s">
        <v>10</v>
      </c>
      <c r="C7" s="164">
        <f>-MODULOS!C20</f>
        <v>-45000000</v>
      </c>
      <c r="D7" s="164">
        <f>-MODULOS!D20</f>
        <v>-54880000</v>
      </c>
      <c r="E7" s="19" t="s">
        <v>185</v>
      </c>
    </row>
    <row r="8" spans="2:5" ht="13.5" thickTop="1">
      <c r="B8" s="31" t="s">
        <v>5</v>
      </c>
      <c r="C8" s="106">
        <f>C6+C7</f>
        <v>35000000</v>
      </c>
      <c r="D8" s="106">
        <f>D6+D7</f>
        <v>25760000</v>
      </c>
      <c r="E8" s="19" t="s">
        <v>185</v>
      </c>
    </row>
    <row r="9" spans="2:5" ht="12.75">
      <c r="B9" s="20" t="s">
        <v>45</v>
      </c>
      <c r="C9" s="170">
        <f>+MODULOS!C36</f>
        <v>8000000</v>
      </c>
      <c r="D9" s="170">
        <f>+MODULOS!D36</f>
        <v>0</v>
      </c>
      <c r="E9" s="19" t="s">
        <v>185</v>
      </c>
    </row>
    <row r="10" spans="2:5" ht="12.75">
      <c r="B10" s="31" t="s">
        <v>6</v>
      </c>
      <c r="C10" s="106">
        <f>SUM(C11:C12)</f>
        <v>-25000000</v>
      </c>
      <c r="D10" s="106">
        <f>SUM(D11:D12)</f>
        <v>-21900000</v>
      </c>
      <c r="E10" s="19" t="s">
        <v>185</v>
      </c>
    </row>
    <row r="11" spans="2:5" ht="12.75">
      <c r="B11" s="32" t="s">
        <v>32</v>
      </c>
      <c r="C11" s="168">
        <v>-10000000</v>
      </c>
      <c r="D11" s="168">
        <v>-9900000</v>
      </c>
      <c r="E11" s="19" t="s">
        <v>145</v>
      </c>
    </row>
    <row r="12" spans="2:5" ht="12.75">
      <c r="B12" s="32" t="s">
        <v>33</v>
      </c>
      <c r="C12" s="168">
        <v>-15000000</v>
      </c>
      <c r="D12" s="168">
        <v>-12000000</v>
      </c>
      <c r="E12" s="19" t="s">
        <v>145</v>
      </c>
    </row>
    <row r="13" spans="2:5" ht="12.75">
      <c r="B13" s="31" t="s">
        <v>7</v>
      </c>
      <c r="C13" s="106">
        <f>C8+C9+C10</f>
        <v>18000000</v>
      </c>
      <c r="D13" s="106">
        <f>D8+D9+D10</f>
        <v>3860000</v>
      </c>
      <c r="E13" s="19" t="s">
        <v>185</v>
      </c>
    </row>
    <row r="14" spans="2:5" ht="13.5" thickBot="1">
      <c r="B14" s="30" t="s">
        <v>31</v>
      </c>
      <c r="C14" s="172">
        <f>-MODULOS!E57</f>
        <v>-4700000</v>
      </c>
      <c r="D14" s="172">
        <f>-MODULOS!H57</f>
        <v>-2900000</v>
      </c>
      <c r="E14" s="19" t="s">
        <v>185</v>
      </c>
    </row>
    <row r="15" spans="2:5" ht="13.5" thickTop="1">
      <c r="B15" s="31" t="s">
        <v>25</v>
      </c>
      <c r="C15" s="106">
        <f>+C13+C14</f>
        <v>13300000</v>
      </c>
      <c r="D15" s="106">
        <f>+D13+D14</f>
        <v>960000</v>
      </c>
      <c r="E15" s="19" t="s">
        <v>185</v>
      </c>
    </row>
    <row r="16" spans="2:5" ht="13.5" thickBot="1">
      <c r="B16" s="30" t="s">
        <v>35</v>
      </c>
      <c r="C16" s="174">
        <f>-MODULOS!C41</f>
        <v>-200000</v>
      </c>
      <c r="D16" s="174">
        <f>-MODULOS!D41</f>
        <v>-200000</v>
      </c>
      <c r="E16" s="19" t="s">
        <v>185</v>
      </c>
    </row>
    <row r="17" spans="2:4" ht="13.5" thickTop="1">
      <c r="B17" s="31" t="s">
        <v>8</v>
      </c>
      <c r="C17" s="106">
        <f>+C15+C16</f>
        <v>13100000</v>
      </c>
      <c r="D17" s="106">
        <f>+D15+D16</f>
        <v>760000</v>
      </c>
    </row>
    <row r="18" spans="2:5" ht="13.5" thickBot="1">
      <c r="B18" s="30" t="s">
        <v>36</v>
      </c>
      <c r="C18" s="148">
        <f>-C17*0.25</f>
        <v>-3275000</v>
      </c>
      <c r="D18" s="148">
        <f>-D17*0.25</f>
        <v>-190000</v>
      </c>
      <c r="E18" s="19" t="s">
        <v>185</v>
      </c>
    </row>
    <row r="19" spans="2:4" ht="13.5" thickTop="1">
      <c r="B19" s="31" t="s">
        <v>9</v>
      </c>
      <c r="C19" s="106">
        <f>+C17+C18</f>
        <v>9825000</v>
      </c>
      <c r="D19" s="106">
        <f>+D17+D18</f>
        <v>570000</v>
      </c>
    </row>
    <row r="20" spans="3:4" ht="12.75">
      <c r="C20" s="33"/>
      <c r="D20" s="33"/>
    </row>
    <row r="23" spans="2:4" ht="12.75">
      <c r="B23" s="31" t="s">
        <v>0</v>
      </c>
      <c r="C23" s="166" t="str">
        <f>+C4</f>
        <v>PPTO USD</v>
      </c>
      <c r="D23" s="166" t="str">
        <f>+D4</f>
        <v>REAL USD</v>
      </c>
    </row>
    <row r="24" spans="2:4" ht="12.75">
      <c r="B24" s="19" t="s">
        <v>43</v>
      </c>
      <c r="C24" s="167">
        <v>800</v>
      </c>
      <c r="D24" s="167">
        <v>720</v>
      </c>
    </row>
    <row r="25" spans="2:4" ht="12.75">
      <c r="B25" s="19" t="s">
        <v>44</v>
      </c>
      <c r="C25" s="167">
        <v>100000</v>
      </c>
      <c r="D25" s="167">
        <v>112000</v>
      </c>
    </row>
    <row r="26" spans="2:4" ht="12.75">
      <c r="B26" s="165" t="s">
        <v>0</v>
      </c>
      <c r="C26" s="236">
        <f>+C25*C24</f>
        <v>80000000</v>
      </c>
      <c r="D26" s="236">
        <f>+D25*D24</f>
        <v>80640000</v>
      </c>
    </row>
    <row r="28" ht="12.75">
      <c r="B28" s="31" t="str">
        <f>+B7</f>
        <v>Costo de Ventas</v>
      </c>
    </row>
    <row r="29" spans="2:4" ht="12.75">
      <c r="B29" s="19" t="s">
        <v>142</v>
      </c>
      <c r="C29" s="167">
        <v>450</v>
      </c>
      <c r="D29" s="167">
        <v>490</v>
      </c>
    </row>
    <row r="30" spans="2:4" ht="12.75">
      <c r="B30" s="19" t="str">
        <f>+B25</f>
        <v>Cantidad</v>
      </c>
      <c r="C30" s="167">
        <f>+C25</f>
        <v>100000</v>
      </c>
      <c r="D30" s="167">
        <f>+D25</f>
        <v>112000</v>
      </c>
    </row>
    <row r="31" spans="2:4" ht="12.75">
      <c r="B31" s="165" t="str">
        <f>+B28</f>
        <v>Costo de Ventas</v>
      </c>
      <c r="C31" s="237">
        <f>+C30*C29</f>
        <v>45000000</v>
      </c>
      <c r="D31" s="237">
        <f>+D30*D29</f>
        <v>54880000</v>
      </c>
    </row>
    <row r="33" ht="12.75">
      <c r="B33" s="31" t="str">
        <f>+B9</f>
        <v>Otros ingresos</v>
      </c>
    </row>
    <row r="34" spans="2:4" ht="12.75">
      <c r="B34" s="19" t="s">
        <v>143</v>
      </c>
      <c r="C34" s="167">
        <v>8000000</v>
      </c>
      <c r="D34" s="167">
        <v>0</v>
      </c>
    </row>
    <row r="35" spans="2:4" ht="12.75">
      <c r="B35" s="19" t="s">
        <v>144</v>
      </c>
      <c r="C35" s="167">
        <v>0</v>
      </c>
      <c r="D35" s="167"/>
    </row>
    <row r="36" spans="3:4" ht="12.75">
      <c r="C36" s="169">
        <f>+C34-C35</f>
        <v>8000000</v>
      </c>
      <c r="D36" s="169">
        <f>+D34-D35</f>
        <v>0</v>
      </c>
    </row>
    <row r="38" spans="2:6" ht="12.75">
      <c r="B38" s="31" t="str">
        <f>+B14</f>
        <v>Depreciaciones</v>
      </c>
      <c r="F38" s="31" t="s">
        <v>146</v>
      </c>
    </row>
    <row r="39" spans="3:10" ht="12.75">
      <c r="C39" s="171">
        <f>+J47</f>
        <v>4700000</v>
      </c>
      <c r="D39" s="171">
        <f>+J44</f>
        <v>2900000</v>
      </c>
      <c r="F39" s="166" t="s">
        <v>147</v>
      </c>
      <c r="G39" s="166" t="s">
        <v>148</v>
      </c>
      <c r="H39" s="166" t="s">
        <v>149</v>
      </c>
      <c r="I39" s="166" t="s">
        <v>150</v>
      </c>
      <c r="J39" s="166" t="s">
        <v>151</v>
      </c>
    </row>
    <row r="40" spans="6:10" ht="12.75">
      <c r="F40" s="167" t="s">
        <v>81</v>
      </c>
      <c r="G40" s="167">
        <v>10</v>
      </c>
      <c r="H40" s="167">
        <v>16000000</v>
      </c>
      <c r="I40" s="167">
        <v>6000000</v>
      </c>
      <c r="J40" s="167">
        <f>+H40/G40</f>
        <v>1600000</v>
      </c>
    </row>
    <row r="41" spans="2:10" ht="12.75">
      <c r="B41" s="31" t="str">
        <f>+B16</f>
        <v>Intereses perdidos</v>
      </c>
      <c r="F41" s="167" t="s">
        <v>82</v>
      </c>
      <c r="G41" s="167">
        <v>10</v>
      </c>
      <c r="H41" s="167">
        <v>12000000</v>
      </c>
      <c r="I41" s="167">
        <v>8000000</v>
      </c>
      <c r="J41" s="167">
        <f>+H41/G41</f>
        <v>1200000</v>
      </c>
    </row>
    <row r="42" spans="2:10" ht="12.75">
      <c r="B42" s="19" t="s">
        <v>156</v>
      </c>
      <c r="C42" s="167">
        <v>4000000</v>
      </c>
      <c r="D42" s="167">
        <v>4000000</v>
      </c>
      <c r="F42" s="167" t="s">
        <v>83</v>
      </c>
      <c r="G42" s="167">
        <v>10</v>
      </c>
      <c r="H42" s="167">
        <v>10000000</v>
      </c>
      <c r="I42" s="167">
        <v>10000000</v>
      </c>
      <c r="J42" s="167"/>
    </row>
    <row r="43" spans="2:10" ht="12.75">
      <c r="B43" s="19" t="s">
        <v>157</v>
      </c>
      <c r="C43" s="173">
        <f>+C42*5%</f>
        <v>200000</v>
      </c>
      <c r="D43" s="173">
        <f>+D42*5%</f>
        <v>200000</v>
      </c>
      <c r="F43" s="167" t="s">
        <v>152</v>
      </c>
      <c r="G43" s="167">
        <v>20</v>
      </c>
      <c r="H43" s="167">
        <v>2000000</v>
      </c>
      <c r="I43" s="167">
        <v>1000000</v>
      </c>
      <c r="J43" s="167">
        <f>+H43/G43</f>
        <v>100000</v>
      </c>
    </row>
    <row r="44" spans="6:11" ht="12.75">
      <c r="F44" s="166" t="s">
        <v>154</v>
      </c>
      <c r="G44" s="166"/>
      <c r="H44" s="166">
        <f>+H43+H42+H41+H40</f>
        <v>40000000</v>
      </c>
      <c r="I44" s="166">
        <f>+I43+I42+I41+I40</f>
        <v>25000000</v>
      </c>
      <c r="J44" s="178">
        <f>+J43+J42+J41+J40</f>
        <v>2900000</v>
      </c>
      <c r="K44" s="19">
        <f>+I44+J44</f>
        <v>27900000</v>
      </c>
    </row>
    <row r="45" spans="6:10" ht="12.75">
      <c r="F45" s="167" t="str">
        <f>+F42</f>
        <v>Avion 3</v>
      </c>
      <c r="G45" s="167"/>
      <c r="H45" s="167">
        <f>-H42</f>
        <v>-10000000</v>
      </c>
      <c r="I45" s="167">
        <f>-I42</f>
        <v>-10000000</v>
      </c>
      <c r="J45" s="167">
        <f>-J42</f>
        <v>0</v>
      </c>
    </row>
    <row r="46" spans="6:10" ht="12.75">
      <c r="F46" s="167" t="s">
        <v>153</v>
      </c>
      <c r="G46" s="167">
        <v>10</v>
      </c>
      <c r="H46" s="167">
        <v>18000000</v>
      </c>
      <c r="I46" s="167"/>
      <c r="J46" s="167">
        <f>+H46/G46</f>
        <v>1800000</v>
      </c>
    </row>
    <row r="47" spans="6:10" ht="12.75">
      <c r="F47" s="166" t="s">
        <v>155</v>
      </c>
      <c r="G47" s="167"/>
      <c r="H47" s="166">
        <f>+H46+H44+H45</f>
        <v>48000000</v>
      </c>
      <c r="I47" s="166">
        <f>+I46+I44+I45</f>
        <v>15000000</v>
      </c>
      <c r="J47" s="178">
        <f>+J46+J44</f>
        <v>4700000</v>
      </c>
    </row>
    <row r="48" ht="12.75">
      <c r="J48" s="19">
        <f>+J47+I47</f>
        <v>19700000</v>
      </c>
    </row>
  </sheetData>
  <sheetProtection/>
  <mergeCells count="1">
    <mergeCell ref="B2:D2"/>
  </mergeCells>
  <printOptions/>
  <pageMargins left="0.5511811023622047" right="0.5511811023622047" top="0.5905511811023623" bottom="0.5905511811023623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zoomScalePageLayoutView="0" workbookViewId="0" topLeftCell="E1">
      <selection activeCell="N11" sqref="N11"/>
    </sheetView>
  </sheetViews>
  <sheetFormatPr defaultColWidth="11.421875" defaultRowHeight="12.75"/>
  <cols>
    <col min="1" max="1" width="3.57421875" style="19" customWidth="1"/>
    <col min="2" max="2" width="24.57421875" style="19" bestFit="1" customWidth="1"/>
    <col min="3" max="3" width="12.28125" style="19" bestFit="1" customWidth="1"/>
    <col min="4" max="4" width="12.8515625" style="19" customWidth="1"/>
    <col min="5" max="6" width="14.7109375" style="19" customWidth="1"/>
    <col min="7" max="8" width="11.421875" style="19" customWidth="1"/>
    <col min="9" max="9" width="31.7109375" style="19" bestFit="1" customWidth="1"/>
    <col min="10" max="10" width="1.421875" style="19" customWidth="1"/>
    <col min="11" max="12" width="11.8515625" style="19" bestFit="1" customWidth="1"/>
    <col min="13" max="16384" width="11.421875" style="19" customWidth="1"/>
  </cols>
  <sheetData>
    <row r="2" spans="1:4" ht="12.75">
      <c r="A2" s="20"/>
      <c r="B2" s="155" t="s">
        <v>37</v>
      </c>
      <c r="C2" s="156"/>
      <c r="D2" s="157"/>
    </row>
    <row r="3" spans="1:4" ht="13.5" thickBot="1">
      <c r="A3" s="20"/>
      <c r="B3" s="21"/>
      <c r="C3" s="21"/>
      <c r="D3" s="21"/>
    </row>
    <row r="4" spans="1:12" ht="13.5" thickBot="1">
      <c r="A4" s="20"/>
      <c r="B4" s="22"/>
      <c r="C4" s="149" t="s">
        <v>27</v>
      </c>
      <c r="D4" s="149" t="s">
        <v>26</v>
      </c>
      <c r="I4" s="191" t="str">
        <f>+B5</f>
        <v>Disponibilidades</v>
      </c>
      <c r="J4" s="192"/>
      <c r="K4" s="193" t="str">
        <f>+C4</f>
        <v>PPTO USD</v>
      </c>
      <c r="L4" s="194" t="str">
        <f>+D4</f>
        <v>REAL USD</v>
      </c>
    </row>
    <row r="5" spans="1:12" ht="13.5" thickTop="1">
      <c r="A5" s="20"/>
      <c r="B5" s="23" t="s">
        <v>11</v>
      </c>
      <c r="C5" s="209">
        <f>+'SP 1 - FF'!B19</f>
        <v>8958333.333333328</v>
      </c>
      <c r="D5" s="209">
        <f>+'SP 1 - FF'!C19</f>
        <v>2950000</v>
      </c>
      <c r="F5" s="19" t="s">
        <v>140</v>
      </c>
      <c r="I5" s="195"/>
      <c r="J5" s="196"/>
      <c r="K5" s="196"/>
      <c r="L5" s="197"/>
    </row>
    <row r="6" spans="1:12" ht="12.75">
      <c r="A6" s="20"/>
      <c r="B6" s="24" t="s">
        <v>12</v>
      </c>
      <c r="C6" s="175">
        <f>+MODULOS!C11</f>
        <v>6666666.666666667</v>
      </c>
      <c r="D6" s="177">
        <f>+MODULOS!D11</f>
        <v>6720000</v>
      </c>
      <c r="E6" s="176" t="s">
        <v>159</v>
      </c>
      <c r="I6" s="198" t="s">
        <v>38</v>
      </c>
      <c r="J6" s="199"/>
      <c r="K6" s="166">
        <v>1000000</v>
      </c>
      <c r="L6" s="200">
        <v>1000000</v>
      </c>
    </row>
    <row r="7" spans="1:12" ht="12.75">
      <c r="A7" s="20"/>
      <c r="B7" s="24" t="s">
        <v>13</v>
      </c>
      <c r="C7" s="179">
        <f>+MODULOS!C47</f>
        <v>48000000</v>
      </c>
      <c r="D7" s="179">
        <f>+MODULOS!D47</f>
        <v>40000000</v>
      </c>
      <c r="I7" s="198"/>
      <c r="J7" s="199"/>
      <c r="K7" s="196"/>
      <c r="L7" s="197"/>
    </row>
    <row r="8" spans="1:12" ht="13.5" thickBot="1">
      <c r="A8" s="20"/>
      <c r="B8" s="24" t="s">
        <v>30</v>
      </c>
      <c r="C8" s="180">
        <f>-MODULOS!C63</f>
        <v>-19700000</v>
      </c>
      <c r="D8" s="180">
        <f>-MODULOS!D63</f>
        <v>-27900000</v>
      </c>
      <c r="I8" s="195" t="s">
        <v>0</v>
      </c>
      <c r="J8" s="196"/>
      <c r="K8" s="167">
        <f>+'SP 1 - ER'!C6/12*11</f>
        <v>73333333.33333334</v>
      </c>
      <c r="L8" s="201">
        <f>+'SP 1 - ER'!D6/12*11</f>
        <v>73920000</v>
      </c>
    </row>
    <row r="9" spans="1:12" ht="13.5" thickTop="1">
      <c r="A9" s="20"/>
      <c r="B9" s="25" t="s">
        <v>14</v>
      </c>
      <c r="C9" s="107">
        <f>+SUM(C5:C8)</f>
        <v>43925000</v>
      </c>
      <c r="D9" s="107">
        <f>+SUM(D5:D8)</f>
        <v>21770000</v>
      </c>
      <c r="I9" s="195" t="s">
        <v>164</v>
      </c>
      <c r="J9" s="196"/>
      <c r="K9" s="167">
        <f>+'SP 1 - ER'!C9</f>
        <v>8000000</v>
      </c>
      <c r="L9" s="201"/>
    </row>
    <row r="10" spans="1:12" ht="12.75">
      <c r="A10" s="20"/>
      <c r="B10" s="24" t="s">
        <v>15</v>
      </c>
      <c r="C10" s="181">
        <f>+MODULOS!C26</f>
        <v>2500000</v>
      </c>
      <c r="D10" s="177">
        <f>+MODULOS!D26</f>
        <v>2000000</v>
      </c>
      <c r="E10" s="176" t="s">
        <v>159</v>
      </c>
      <c r="I10" s="198" t="s">
        <v>165</v>
      </c>
      <c r="J10" s="196"/>
      <c r="K10" s="166">
        <f>+K9+K8</f>
        <v>81333333.33333334</v>
      </c>
      <c r="L10" s="166">
        <f>+L9+L8</f>
        <v>73920000</v>
      </c>
    </row>
    <row r="11" spans="1:12" ht="13.5" thickBot="1">
      <c r="A11" s="20"/>
      <c r="B11" s="26" t="s">
        <v>29</v>
      </c>
      <c r="C11" s="182">
        <f>+MODULOS!C70</f>
        <v>1600000</v>
      </c>
      <c r="D11" s="182">
        <f>+MODULOS!D70</f>
        <v>4200000</v>
      </c>
      <c r="I11" s="195"/>
      <c r="J11" s="196"/>
      <c r="K11" s="196"/>
      <c r="L11" s="197"/>
    </row>
    <row r="12" spans="1:12" ht="13.5" thickTop="1">
      <c r="A12" s="20"/>
      <c r="B12" s="25" t="s">
        <v>16</v>
      </c>
      <c r="C12" s="107">
        <f>+C10+C11</f>
        <v>4100000</v>
      </c>
      <c r="D12" s="107">
        <f>+D10+D11</f>
        <v>6200000</v>
      </c>
      <c r="I12" s="202" t="s">
        <v>166</v>
      </c>
      <c r="J12" s="196"/>
      <c r="K12" s="167">
        <f>-'SP 1 - ER'!C7</f>
        <v>45000000</v>
      </c>
      <c r="L12" s="201">
        <f>-'SP 1 - ER'!D7</f>
        <v>54880000</v>
      </c>
    </row>
    <row r="13" spans="2:12" ht="12.75">
      <c r="B13" s="24" t="s">
        <v>17</v>
      </c>
      <c r="C13" s="189">
        <f>+MODULOS!C75</f>
        <v>34000000</v>
      </c>
      <c r="D13" s="189">
        <f>+MODULOS!D75</f>
        <v>19000000</v>
      </c>
      <c r="I13" s="202" t="s">
        <v>167</v>
      </c>
      <c r="J13" s="196"/>
      <c r="K13" s="167">
        <f>-'SP 1 - ER'!C12/12*10</f>
        <v>12500000</v>
      </c>
      <c r="L13" s="201">
        <f>-'SP 1 - ER'!D12/12*10</f>
        <v>10000000</v>
      </c>
    </row>
    <row r="14" spans="2:12" ht="13.5" thickBot="1">
      <c r="B14" s="26" t="s">
        <v>18</v>
      </c>
      <c r="C14" s="188">
        <f>+MODULOS!C80</f>
        <v>5825000</v>
      </c>
      <c r="D14" s="188">
        <f>+MODULOS!D80</f>
        <v>-3430000</v>
      </c>
      <c r="I14" s="202" t="s">
        <v>132</v>
      </c>
      <c r="J14" s="196"/>
      <c r="K14" s="167">
        <f>-'SP 1 - ER'!C11</f>
        <v>10000000</v>
      </c>
      <c r="L14" s="201">
        <f>-'SP 1 - ER'!D11</f>
        <v>9900000</v>
      </c>
    </row>
    <row r="15" spans="2:12" ht="13.5" thickTop="1">
      <c r="B15" s="25" t="s">
        <v>19</v>
      </c>
      <c r="C15" s="150">
        <f>+C13+C14</f>
        <v>39825000</v>
      </c>
      <c r="D15" s="150">
        <f>+D13+D14</f>
        <v>15570000</v>
      </c>
      <c r="I15" s="202" t="s">
        <v>133</v>
      </c>
      <c r="J15" s="196"/>
      <c r="K15" s="167">
        <f>-G32</f>
        <v>2400000</v>
      </c>
      <c r="L15" s="201">
        <f>-H32</f>
        <v>0</v>
      </c>
    </row>
    <row r="16" spans="2:12" ht="13.5" thickBot="1">
      <c r="B16" s="27" t="s">
        <v>20</v>
      </c>
      <c r="C16" s="151">
        <f>+C12+C15</f>
        <v>43925000</v>
      </c>
      <c r="D16" s="151">
        <f>+D15+D12</f>
        <v>21770000</v>
      </c>
      <c r="I16" s="202" t="s">
        <v>131</v>
      </c>
      <c r="J16" s="196"/>
      <c r="K16" s="167">
        <f>-G31</f>
        <v>200000</v>
      </c>
      <c r="L16" s="201">
        <f>-H31</f>
        <v>0</v>
      </c>
    </row>
    <row r="17" spans="9:12" ht="12.75">
      <c r="I17" s="202" t="s">
        <v>137</v>
      </c>
      <c r="J17" s="196"/>
      <c r="K17" s="167">
        <f>-'SP 1 - ER'!C18</f>
        <v>3275000</v>
      </c>
      <c r="L17" s="201">
        <f>-'SP 1 - ER'!D18</f>
        <v>190000</v>
      </c>
    </row>
    <row r="18" spans="3:12" ht="15">
      <c r="C18" s="34">
        <f>+C16-C9</f>
        <v>0</v>
      </c>
      <c r="D18" s="34">
        <f>+D16-D9</f>
        <v>0</v>
      </c>
      <c r="I18" s="203" t="s">
        <v>168</v>
      </c>
      <c r="J18" s="196"/>
      <c r="K18" s="166">
        <f>+K17+K16+K15+K14+K13+K12</f>
        <v>73375000</v>
      </c>
      <c r="L18" s="200">
        <f>+L17+L16+L15+L14+L13+L12</f>
        <v>74970000</v>
      </c>
    </row>
    <row r="19" spans="9:13" ht="15">
      <c r="I19" s="203"/>
      <c r="J19" s="196"/>
      <c r="K19" s="199"/>
      <c r="L19" s="206"/>
      <c r="M19" s="31">
        <f>+M6+M9-M17</f>
        <v>0</v>
      </c>
    </row>
    <row r="20" spans="2:12" ht="15">
      <c r="B20" s="31" t="str">
        <f>+B6</f>
        <v>Créditos por Ventas</v>
      </c>
      <c r="C20" s="186">
        <f>+'SP 1 - ER'!C6/12</f>
        <v>6666666.666666667</v>
      </c>
      <c r="D20" s="186">
        <f>+'SP 1 - ER'!D6/12</f>
        <v>6720000</v>
      </c>
      <c r="I20" s="203" t="s">
        <v>169</v>
      </c>
      <c r="J20" s="196"/>
      <c r="K20" s="166">
        <f>18000000-18000000</f>
        <v>0</v>
      </c>
      <c r="L20" s="166">
        <v>3000000</v>
      </c>
    </row>
    <row r="21" spans="2:12" ht="12.75">
      <c r="B21" s="19" t="s">
        <v>158</v>
      </c>
      <c r="I21" s="195"/>
      <c r="J21" s="196"/>
      <c r="K21" s="196"/>
      <c r="L21" s="197"/>
    </row>
    <row r="22" spans="9:12" ht="13.5" thickBot="1">
      <c r="I22" s="204" t="s">
        <v>162</v>
      </c>
      <c r="J22" s="205"/>
      <c r="K22" s="207">
        <f>+K6+K10-K18</f>
        <v>8958333.333333343</v>
      </c>
      <c r="L22" s="208">
        <f>+L6+L10-L18+L20</f>
        <v>2950000</v>
      </c>
    </row>
    <row r="23" spans="2:4" ht="12.75">
      <c r="B23" s="31" t="str">
        <f>+B7</f>
        <v>Bienes de Uso</v>
      </c>
      <c r="C23" s="171">
        <f>+'SP 1 - ER'!H47</f>
        <v>48000000</v>
      </c>
      <c r="D23" s="171">
        <f>+'SP 1 - ER'!H44</f>
        <v>40000000</v>
      </c>
    </row>
    <row r="24" spans="2:4" ht="12.75">
      <c r="B24" s="31" t="str">
        <f>+B8</f>
        <v>Amortización Acumulada</v>
      </c>
      <c r="C24" s="171">
        <f>+'SP 1 - ER'!I44+'SP 1 - ER'!J47+'SP 1 - ER'!I45</f>
        <v>19700000</v>
      </c>
      <c r="D24" s="171">
        <f>+'SP 1 - ER'!I44+'SP 1 - ER'!J44</f>
        <v>27900000</v>
      </c>
    </row>
    <row r="26" spans="2:3" ht="12.75">
      <c r="B26" s="31" t="str">
        <f>+B10</f>
        <v>Proveedores</v>
      </c>
      <c r="C26" s="169">
        <f>-'SP 1 - ER'!C12/12*2</f>
        <v>2500000</v>
      </c>
    </row>
    <row r="27" ht="12.75">
      <c r="B27" s="19" t="s">
        <v>160</v>
      </c>
    </row>
    <row r="28" spans="7:8" ht="12.75">
      <c r="G28" s="166" t="str">
        <f>+C4</f>
        <v>PPTO USD</v>
      </c>
      <c r="H28" s="166" t="str">
        <f>+D4</f>
        <v>REAL USD</v>
      </c>
    </row>
    <row r="29" spans="2:8" ht="12.75">
      <c r="B29" s="31" t="str">
        <f>+B11</f>
        <v>Préstamo Financiero</v>
      </c>
      <c r="C29" s="185">
        <f>+G33</f>
        <v>1600000</v>
      </c>
      <c r="D29" s="185">
        <f>+H33</f>
        <v>4200000</v>
      </c>
      <c r="F29" s="166" t="s">
        <v>59</v>
      </c>
      <c r="G29" s="167">
        <v>4000000</v>
      </c>
      <c r="H29" s="167">
        <f>+G29</f>
        <v>4000000</v>
      </c>
    </row>
    <row r="30" spans="6:8" ht="12.75">
      <c r="F30" s="167" t="s">
        <v>52</v>
      </c>
      <c r="G30" s="167">
        <f>-'SP 1 - ER'!C16</f>
        <v>200000</v>
      </c>
      <c r="H30" s="167">
        <f>+G30</f>
        <v>200000</v>
      </c>
    </row>
    <row r="31" spans="6:8" ht="12.75">
      <c r="F31" s="167" t="s">
        <v>61</v>
      </c>
      <c r="G31" s="167">
        <f>-G30</f>
        <v>-200000</v>
      </c>
      <c r="H31" s="167"/>
    </row>
    <row r="32" spans="6:8" ht="12.75">
      <c r="F32" s="167" t="s">
        <v>161</v>
      </c>
      <c r="G32" s="167">
        <f>-G29*0.6</f>
        <v>-2400000</v>
      </c>
      <c r="H32" s="167"/>
    </row>
    <row r="33" spans="6:8" ht="12.75">
      <c r="F33" s="166" t="s">
        <v>162</v>
      </c>
      <c r="G33" s="183">
        <f>+G32+G31+G30+G29</f>
        <v>1600000</v>
      </c>
      <c r="H33" s="183">
        <f>+H32+H31+H30+H29</f>
        <v>4200000</v>
      </c>
    </row>
    <row r="34" spans="2:4" ht="12.75">
      <c r="B34" s="31" t="str">
        <f>+B13</f>
        <v>Capital</v>
      </c>
      <c r="C34" s="166" t="str">
        <f>+C4</f>
        <v>PPTO USD</v>
      </c>
      <c r="D34" s="166" t="str">
        <f>+D4</f>
        <v>REAL USD</v>
      </c>
    </row>
    <row r="35" spans="2:4" ht="12.75">
      <c r="B35" s="19" t="s">
        <v>38</v>
      </c>
      <c r="C35" s="167">
        <v>16000000</v>
      </c>
      <c r="D35" s="167">
        <f>+C35</f>
        <v>16000000</v>
      </c>
    </row>
    <row r="36" spans="2:4" ht="12.75">
      <c r="B36" s="19" t="s">
        <v>163</v>
      </c>
      <c r="C36" s="167">
        <v>18000000</v>
      </c>
      <c r="D36" s="167">
        <v>3000000</v>
      </c>
    </row>
    <row r="37" spans="3:4" ht="12.75">
      <c r="C37" s="184">
        <f>+C36+C35</f>
        <v>34000000</v>
      </c>
      <c r="D37" s="184">
        <f>+D36+D35</f>
        <v>19000000</v>
      </c>
    </row>
    <row r="39" spans="2:4" ht="12.75">
      <c r="B39" s="31" t="str">
        <f>+B14</f>
        <v>Resultados Acumulados</v>
      </c>
      <c r="C39" s="167" t="str">
        <f>+C34</f>
        <v>PPTO USD</v>
      </c>
      <c r="D39" s="167" t="str">
        <f>+D34</f>
        <v>REAL USD</v>
      </c>
    </row>
    <row r="40" spans="2:4" ht="12.75">
      <c r="B40" s="19" t="str">
        <f>+B35</f>
        <v>Saldo Inicial</v>
      </c>
      <c r="C40" s="167">
        <v>-4000000</v>
      </c>
      <c r="D40" s="167">
        <f>+C40</f>
        <v>-4000000</v>
      </c>
    </row>
    <row r="41" spans="2:4" ht="12.75">
      <c r="B41" s="19" t="s">
        <v>64</v>
      </c>
      <c r="C41" s="167">
        <f>+'SP 1 - ER'!C19</f>
        <v>9825000</v>
      </c>
      <c r="D41" s="167">
        <f>+'SP 1 - ER'!D19</f>
        <v>570000</v>
      </c>
    </row>
    <row r="42" spans="3:4" ht="12.75">
      <c r="C42" s="187">
        <f>+C41+C40</f>
        <v>5825000</v>
      </c>
      <c r="D42" s="187">
        <f>+D41+D40</f>
        <v>-3430000</v>
      </c>
    </row>
  </sheetData>
  <sheetProtection/>
  <mergeCells count="1">
    <mergeCell ref="B2:D2"/>
  </mergeCells>
  <printOptions/>
  <pageMargins left="0.5511811023622047" right="0.5511811023622047" top="0.5905511811023623" bottom="0.5905511811023623" header="0.5118110236220472" footer="0.5118110236220472"/>
  <pageSetup blackAndWhite="1"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35.28125" style="109" bestFit="1" customWidth="1"/>
    <col min="2" max="3" width="13.57421875" style="109" bestFit="1" customWidth="1"/>
    <col min="4" max="16384" width="11.421875" style="109" customWidth="1"/>
  </cols>
  <sheetData>
    <row r="1" spans="1:3" ht="12.75">
      <c r="A1" s="127" t="s">
        <v>141</v>
      </c>
      <c r="B1" s="126" t="s">
        <v>27</v>
      </c>
      <c r="C1" s="126" t="s">
        <v>26</v>
      </c>
    </row>
    <row r="2" spans="1:2" ht="15">
      <c r="A2" s="110"/>
      <c r="B2" s="108"/>
    </row>
    <row r="3" spans="1:3" ht="15">
      <c r="A3" s="111" t="s">
        <v>135</v>
      </c>
      <c r="B3" s="190">
        <v>1000000</v>
      </c>
      <c r="C3" s="123">
        <f>+B3</f>
        <v>1000000</v>
      </c>
    </row>
    <row r="4" spans="1:2" ht="12.75">
      <c r="A4" s="110"/>
      <c r="B4" s="112"/>
    </row>
    <row r="5" spans="1:3" ht="12.75">
      <c r="A5" s="121" t="s">
        <v>129</v>
      </c>
      <c r="B5" s="112">
        <f>+MODULOS!C14</f>
        <v>73333333.33333333</v>
      </c>
      <c r="C5" s="112">
        <f>+MODULOS!D14</f>
        <v>73920000</v>
      </c>
    </row>
    <row r="6" spans="1:3" ht="12.75">
      <c r="A6" s="124" t="s">
        <v>128</v>
      </c>
      <c r="B6" s="125">
        <f>+MODULOS!C36</f>
        <v>8000000</v>
      </c>
      <c r="C6" s="125">
        <f>+MODULOS!D36</f>
        <v>0</v>
      </c>
    </row>
    <row r="7" spans="1:3" ht="15">
      <c r="A7" s="122" t="s">
        <v>138</v>
      </c>
      <c r="B7" s="123">
        <f>+B5+B6</f>
        <v>81333333.33333333</v>
      </c>
      <c r="C7" s="123">
        <f>+C5+C6</f>
        <v>73920000</v>
      </c>
    </row>
    <row r="8" spans="1:2" ht="12.75">
      <c r="A8" s="110"/>
      <c r="B8" s="112"/>
    </row>
    <row r="9" spans="1:3" ht="12.75">
      <c r="A9" s="121" t="s">
        <v>130</v>
      </c>
      <c r="B9" s="112">
        <f>+MODULOS!C29+MODULOS!C30</f>
        <v>57500000</v>
      </c>
      <c r="C9" s="112">
        <f>+MODULOS!D29+MODULOS!D30</f>
        <v>64880000</v>
      </c>
    </row>
    <row r="10" spans="1:3" ht="12.75">
      <c r="A10" s="121" t="s">
        <v>132</v>
      </c>
      <c r="B10" s="112">
        <f>-'SP 1 - ER'!C11</f>
        <v>10000000</v>
      </c>
      <c r="C10" s="112">
        <f>-'SP 1 - ER'!D11</f>
        <v>9900000</v>
      </c>
    </row>
    <row r="11" spans="1:3" ht="12.75">
      <c r="A11" s="121" t="s">
        <v>133</v>
      </c>
      <c r="B11" s="112">
        <f>-MODULOS!C69</f>
        <v>2400000</v>
      </c>
      <c r="C11" s="112">
        <f>-MODULOS!D69</f>
        <v>0</v>
      </c>
    </row>
    <row r="12" spans="1:3" ht="12.75">
      <c r="A12" s="121" t="s">
        <v>131</v>
      </c>
      <c r="B12" s="112">
        <f>-MODULOS!C68</f>
        <v>200000</v>
      </c>
      <c r="C12" s="112">
        <f>-MODULOS!D68</f>
        <v>0</v>
      </c>
    </row>
    <row r="13" spans="1:3" ht="12.75">
      <c r="A13" s="124" t="s">
        <v>137</v>
      </c>
      <c r="B13" s="125">
        <f>-'SP 1 - ER'!C18</f>
        <v>3275000</v>
      </c>
      <c r="C13" s="125">
        <f>-'SP 1 - ER'!D18</f>
        <v>190000</v>
      </c>
    </row>
    <row r="14" spans="1:3" ht="15">
      <c r="A14" s="122" t="s">
        <v>139</v>
      </c>
      <c r="B14" s="123">
        <f>SUM(B9:B13)</f>
        <v>73375000</v>
      </c>
      <c r="C14" s="123">
        <f>SUM(C9:C13)</f>
        <v>74970000</v>
      </c>
    </row>
    <row r="15" spans="1:2" ht="15">
      <c r="A15" s="105"/>
      <c r="B15" s="113"/>
    </row>
    <row r="16" spans="1:3" ht="12.75">
      <c r="A16" s="124" t="s">
        <v>134</v>
      </c>
      <c r="B16" s="125">
        <v>0</v>
      </c>
      <c r="C16" s="125">
        <f>+MODULOS!D74</f>
        <v>3000000</v>
      </c>
    </row>
    <row r="17" spans="1:3" ht="15">
      <c r="A17" s="122" t="s">
        <v>122</v>
      </c>
      <c r="B17" s="123">
        <f>+B16</f>
        <v>0</v>
      </c>
      <c r="C17" s="123">
        <f>+C16</f>
        <v>3000000</v>
      </c>
    </row>
    <row r="18" spans="1:2" ht="12.75">
      <c r="A18" s="110"/>
      <c r="B18" s="112"/>
    </row>
    <row r="19" spans="1:3" ht="15.75" thickBot="1">
      <c r="A19" s="114" t="s">
        <v>136</v>
      </c>
      <c r="B19" s="115">
        <f>+B3+B7-B14+B17</f>
        <v>8958333.333333328</v>
      </c>
      <c r="C19" s="115">
        <f>+C3+C7-C14+C17</f>
        <v>2950000</v>
      </c>
    </row>
    <row r="20" ht="13.5" thickTop="1"/>
    <row r="24" spans="2:3" ht="12.75">
      <c r="B24" s="128"/>
      <c r="C24" s="1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2"/>
  <sheetViews>
    <sheetView showGridLines="0" zoomScalePageLayoutView="0" workbookViewId="0" topLeftCell="A1">
      <selection activeCell="C21" sqref="C21:C27"/>
    </sheetView>
  </sheetViews>
  <sheetFormatPr defaultColWidth="11.421875" defaultRowHeight="12.75"/>
  <cols>
    <col min="1" max="1" width="3.28125" style="0" customWidth="1"/>
    <col min="3" max="3" width="16.421875" style="0" bestFit="1" customWidth="1"/>
    <col min="8" max="8" width="11.421875" style="5" customWidth="1"/>
    <col min="10" max="10" width="11.8515625" style="0" customWidth="1"/>
  </cols>
  <sheetData>
    <row r="2" spans="4:7" ht="12.75">
      <c r="D2" s="65" t="s">
        <v>67</v>
      </c>
      <c r="E2" s="66" t="s">
        <v>2</v>
      </c>
      <c r="F2" s="65" t="s">
        <v>66</v>
      </c>
      <c r="G2" s="66" t="s">
        <v>1</v>
      </c>
    </row>
    <row r="3" spans="3:7" ht="12.75">
      <c r="C3" s="58" t="s">
        <v>68</v>
      </c>
      <c r="D3" s="67">
        <f>+MODULOS!C4</f>
        <v>800</v>
      </c>
      <c r="E3" s="63">
        <f>+MODULOS!D4</f>
        <v>720</v>
      </c>
      <c r="F3" s="67">
        <f>+MODULOS!C5</f>
        <v>100000</v>
      </c>
      <c r="G3" s="63">
        <f>+MODULOS!D5</f>
        <v>112000</v>
      </c>
    </row>
    <row r="4" spans="3:10" ht="12.75">
      <c r="C4" s="50" t="s">
        <v>3</v>
      </c>
      <c r="D4" s="68">
        <f>+MODULOS!C18</f>
        <v>450</v>
      </c>
      <c r="E4" s="64">
        <f>+MODULOS!D18</f>
        <v>490</v>
      </c>
      <c r="F4" s="68">
        <f>+MODULOS!C19</f>
        <v>100000</v>
      </c>
      <c r="G4" s="64">
        <f>+MODULOS!D19</f>
        <v>112000</v>
      </c>
      <c r="I4" s="5"/>
      <c r="J4" s="5"/>
    </row>
    <row r="7" spans="2:10" ht="12.75">
      <c r="B7" s="37" t="s">
        <v>65</v>
      </c>
      <c r="C7" s="38"/>
      <c r="D7" s="38"/>
      <c r="E7" s="38"/>
      <c r="F7" s="38"/>
      <c r="G7" s="38"/>
      <c r="H7" s="39"/>
      <c r="I7" s="38"/>
      <c r="J7" s="40">
        <f>+'SP 1 - ER'!C15</f>
        <v>13300000</v>
      </c>
    </row>
    <row r="9" spans="2:11" ht="12.75">
      <c r="B9" s="41" t="s">
        <v>96</v>
      </c>
      <c r="C9" s="42"/>
      <c r="D9" s="43"/>
      <c r="E9" s="43"/>
      <c r="F9" s="43"/>
      <c r="G9" s="43"/>
      <c r="H9" s="44"/>
      <c r="I9" s="43"/>
      <c r="J9" s="45">
        <f>+H12+H15</f>
        <v>640000</v>
      </c>
      <c r="K9" t="s">
        <v>90</v>
      </c>
    </row>
    <row r="10" spans="2:11" ht="12.75">
      <c r="B10" s="46"/>
      <c r="C10" s="12"/>
      <c r="D10" s="2"/>
      <c r="E10" s="2"/>
      <c r="F10" s="2"/>
      <c r="G10" s="2"/>
      <c r="H10" s="18"/>
      <c r="I10" s="2"/>
      <c r="J10" s="47"/>
      <c r="K10" t="s">
        <v>120</v>
      </c>
    </row>
    <row r="11" spans="2:10" ht="12.75">
      <c r="B11" s="48"/>
      <c r="C11" s="2"/>
      <c r="D11" s="2"/>
      <c r="E11" s="16" t="s">
        <v>1</v>
      </c>
      <c r="F11" s="16" t="s">
        <v>66</v>
      </c>
      <c r="G11" s="16" t="s">
        <v>67</v>
      </c>
      <c r="H11" s="18"/>
      <c r="I11" s="2"/>
      <c r="J11" s="49"/>
    </row>
    <row r="12" spans="2:10" ht="12.75">
      <c r="B12" s="48"/>
      <c r="C12" s="2" t="s">
        <v>100</v>
      </c>
      <c r="D12" s="2"/>
      <c r="E12" s="17">
        <f>+G3</f>
        <v>112000</v>
      </c>
      <c r="F12" s="17">
        <f>+F3</f>
        <v>100000</v>
      </c>
      <c r="G12" s="17">
        <f>+D3</f>
        <v>800</v>
      </c>
      <c r="H12" s="15">
        <f>+(E12-F12)*G12</f>
        <v>9600000</v>
      </c>
      <c r="I12" s="2"/>
      <c r="J12" s="49"/>
    </row>
    <row r="13" spans="2:10" ht="12.75">
      <c r="B13" s="48"/>
      <c r="C13" s="2"/>
      <c r="D13" s="2"/>
      <c r="E13" s="2"/>
      <c r="F13" s="2"/>
      <c r="G13" s="2"/>
      <c r="H13" s="2"/>
      <c r="I13" s="2"/>
      <c r="J13" s="49"/>
    </row>
    <row r="14" spans="2:10" ht="12.75">
      <c r="B14" s="48"/>
      <c r="C14" s="2"/>
      <c r="D14" s="2"/>
      <c r="E14" s="16" t="s">
        <v>2</v>
      </c>
      <c r="F14" s="16" t="s">
        <v>67</v>
      </c>
      <c r="G14" s="16" t="s">
        <v>1</v>
      </c>
      <c r="H14" s="18"/>
      <c r="I14" s="2"/>
      <c r="J14" s="49"/>
    </row>
    <row r="15" spans="2:10" ht="12.75">
      <c r="B15" s="48"/>
      <c r="C15" s="2" t="s">
        <v>97</v>
      </c>
      <c r="D15" s="2"/>
      <c r="E15" s="17">
        <f>+E3</f>
        <v>720</v>
      </c>
      <c r="F15" s="17">
        <f>+D3</f>
        <v>800</v>
      </c>
      <c r="G15" s="17">
        <f>+G3</f>
        <v>112000</v>
      </c>
      <c r="H15" s="15">
        <f>+(E15-F15)*G15</f>
        <v>-8960000</v>
      </c>
      <c r="I15" s="2"/>
      <c r="J15" s="49"/>
    </row>
    <row r="16" spans="2:10" ht="12.75">
      <c r="B16" s="50"/>
      <c r="C16" s="51"/>
      <c r="D16" s="51"/>
      <c r="E16" s="51"/>
      <c r="F16" s="51"/>
      <c r="G16" s="51"/>
      <c r="H16" s="52"/>
      <c r="I16" s="51"/>
      <c r="J16" s="53"/>
    </row>
    <row r="17" spans="8:10" ht="12.75">
      <c r="H17" s="18"/>
      <c r="I17" s="2"/>
      <c r="J17" s="4"/>
    </row>
    <row r="18" spans="2:11" ht="12.75">
      <c r="B18" s="41" t="s">
        <v>95</v>
      </c>
      <c r="C18" s="43"/>
      <c r="D18" s="43"/>
      <c r="E18" s="43"/>
      <c r="F18" s="43"/>
      <c r="G18" s="43"/>
      <c r="H18" s="44"/>
      <c r="I18" s="43"/>
      <c r="J18" s="45">
        <f>+H21+H24+H27</f>
        <v>-9880000</v>
      </c>
      <c r="K18" t="s">
        <v>89</v>
      </c>
    </row>
    <row r="19" spans="2:11" ht="12.75">
      <c r="B19" s="48"/>
      <c r="C19" s="2"/>
      <c r="D19" s="2"/>
      <c r="E19" s="2"/>
      <c r="F19" s="2"/>
      <c r="G19" s="2"/>
      <c r="H19" s="18"/>
      <c r="I19" s="2"/>
      <c r="J19" s="49"/>
      <c r="K19" t="s">
        <v>119</v>
      </c>
    </row>
    <row r="20" spans="2:10" ht="12.75">
      <c r="B20" s="48"/>
      <c r="C20" s="2"/>
      <c r="D20" s="2"/>
      <c r="E20" s="16" t="s">
        <v>66</v>
      </c>
      <c r="F20" s="16" t="s">
        <v>1</v>
      </c>
      <c r="G20" s="36" t="s">
        <v>2</v>
      </c>
      <c r="H20" s="18"/>
      <c r="I20" s="2"/>
      <c r="J20" s="49"/>
    </row>
    <row r="21" spans="2:10" ht="12.75">
      <c r="B21" s="48"/>
      <c r="C21" s="2" t="s">
        <v>94</v>
      </c>
      <c r="D21" s="2"/>
      <c r="E21" s="17">
        <f>+F4</f>
        <v>100000</v>
      </c>
      <c r="F21" s="17">
        <f>+G4</f>
        <v>112000</v>
      </c>
      <c r="G21" s="17">
        <f>+E4</f>
        <v>490</v>
      </c>
      <c r="H21" s="15">
        <f>+(E21-F21)*G21</f>
        <v>-5880000</v>
      </c>
      <c r="I21" s="18"/>
      <c r="J21" s="49"/>
    </row>
    <row r="22" spans="2:10" ht="13.5" customHeight="1">
      <c r="B22" s="48"/>
      <c r="C22" s="2"/>
      <c r="D22" s="2"/>
      <c r="E22" s="2"/>
      <c r="F22" s="2"/>
      <c r="G22" s="2"/>
      <c r="H22" s="2"/>
      <c r="I22" s="2"/>
      <c r="J22" s="49"/>
    </row>
    <row r="23" spans="2:10" ht="12.75">
      <c r="B23" s="48"/>
      <c r="C23" s="2"/>
      <c r="D23" s="2"/>
      <c r="E23" s="16" t="s">
        <v>67</v>
      </c>
      <c r="F23" s="16" t="s">
        <v>2</v>
      </c>
      <c r="G23" s="36" t="s">
        <v>1</v>
      </c>
      <c r="H23" s="18"/>
      <c r="I23" s="2"/>
      <c r="J23" s="49"/>
    </row>
    <row r="24" spans="2:10" ht="12.75">
      <c r="B24" s="48"/>
      <c r="C24" s="2" t="s">
        <v>93</v>
      </c>
      <c r="D24" s="2"/>
      <c r="E24" s="17">
        <f>+D4</f>
        <v>450</v>
      </c>
      <c r="F24" s="17">
        <f>+E4</f>
        <v>490</v>
      </c>
      <c r="G24" s="17">
        <f>+G4</f>
        <v>112000</v>
      </c>
      <c r="H24" s="15">
        <f>+(E24-F24)*G24</f>
        <v>-4480000</v>
      </c>
      <c r="I24" s="18"/>
      <c r="J24" s="49"/>
    </row>
    <row r="25" spans="2:10" ht="12.75">
      <c r="B25" s="48"/>
      <c r="C25" s="2"/>
      <c r="D25" s="2"/>
      <c r="E25" s="2"/>
      <c r="F25" s="2"/>
      <c r="G25" s="2"/>
      <c r="H25" s="2"/>
      <c r="I25" s="2"/>
      <c r="J25" s="49"/>
    </row>
    <row r="26" spans="2:10" ht="12.75">
      <c r="B26" s="48"/>
      <c r="C26" s="2"/>
      <c r="D26" s="2"/>
      <c r="E26" s="2"/>
      <c r="F26" s="16" t="s">
        <v>98</v>
      </c>
      <c r="G26" s="16" t="s">
        <v>99</v>
      </c>
      <c r="H26" s="18"/>
      <c r="I26" s="2"/>
      <c r="J26" s="54"/>
    </row>
    <row r="27" spans="2:10" ht="12.75">
      <c r="B27" s="48"/>
      <c r="C27" s="2" t="s">
        <v>92</v>
      </c>
      <c r="D27" s="2"/>
      <c r="E27" s="2"/>
      <c r="F27" s="17">
        <f>+E24-F24</f>
        <v>-40</v>
      </c>
      <c r="G27" s="17">
        <f>+E21-F21</f>
        <v>-12000</v>
      </c>
      <c r="H27" s="15">
        <f>+F27*G27</f>
        <v>480000</v>
      </c>
      <c r="I27" s="18"/>
      <c r="J27" s="54"/>
    </row>
    <row r="28" spans="2:10" ht="12.75">
      <c r="B28" s="50"/>
      <c r="C28" s="51"/>
      <c r="D28" s="51"/>
      <c r="E28" s="51"/>
      <c r="F28" s="55"/>
      <c r="G28" s="55"/>
      <c r="H28" s="52"/>
      <c r="I28" s="52"/>
      <c r="J28" s="56"/>
    </row>
    <row r="29" spans="2:10" ht="12.75">
      <c r="B29" s="2"/>
      <c r="C29" s="2"/>
      <c r="D29" s="2"/>
      <c r="E29" s="2"/>
      <c r="F29" s="35"/>
      <c r="G29" s="35"/>
      <c r="H29" s="18"/>
      <c r="I29" s="18"/>
      <c r="J29" s="2"/>
    </row>
    <row r="30" spans="2:10" ht="12.75">
      <c r="B30" s="58"/>
      <c r="C30" s="43"/>
      <c r="D30" s="43"/>
      <c r="E30" s="43"/>
      <c r="F30" s="43"/>
      <c r="G30" s="43"/>
      <c r="H30" s="44"/>
      <c r="I30" s="43"/>
      <c r="J30" s="59"/>
    </row>
    <row r="31" spans="2:10" ht="12.75">
      <c r="B31" s="46" t="s">
        <v>104</v>
      </c>
      <c r="C31" s="12"/>
      <c r="D31" s="2"/>
      <c r="E31" s="2"/>
      <c r="F31" s="57" t="s">
        <v>24</v>
      </c>
      <c r="G31" s="57" t="s">
        <v>4</v>
      </c>
      <c r="H31" s="2"/>
      <c r="I31" s="2"/>
      <c r="J31" s="60"/>
    </row>
    <row r="32" spans="2:11" ht="12.75">
      <c r="B32" s="48"/>
      <c r="C32" s="2"/>
      <c r="D32" s="2"/>
      <c r="E32" s="2"/>
      <c r="F32" s="17">
        <f>-('SP 1 - ER'!C10+'SP 1 - ER'!C14)</f>
        <v>29700000</v>
      </c>
      <c r="G32" s="17">
        <f>-('SP 1 - ER'!D10+'SP 1 - ER'!D14)</f>
        <v>24800000</v>
      </c>
      <c r="H32" s="17">
        <f>+F32-G32</f>
        <v>4900000</v>
      </c>
      <c r="I32" s="2"/>
      <c r="J32" s="60">
        <f>+H32</f>
        <v>4900000</v>
      </c>
      <c r="K32" t="s">
        <v>91</v>
      </c>
    </row>
    <row r="33" spans="2:11" ht="12.75">
      <c r="B33" s="48"/>
      <c r="C33" s="2"/>
      <c r="D33" s="2"/>
      <c r="E33" s="2"/>
      <c r="F33" s="2"/>
      <c r="G33" s="2"/>
      <c r="H33" s="18"/>
      <c r="I33" s="2"/>
      <c r="J33" s="54"/>
      <c r="K33" t="s">
        <v>119</v>
      </c>
    </row>
    <row r="34" spans="2:10" ht="12.75">
      <c r="B34" s="103" t="s">
        <v>116</v>
      </c>
      <c r="C34" s="51"/>
      <c r="D34" s="51"/>
      <c r="E34" s="51"/>
      <c r="F34" s="51"/>
      <c r="G34" s="51"/>
      <c r="H34" s="52"/>
      <c r="I34" s="51"/>
      <c r="J34" s="56"/>
    </row>
    <row r="35" spans="2:10" ht="12.75">
      <c r="B35" s="2"/>
      <c r="C35" s="2"/>
      <c r="D35" s="2"/>
      <c r="E35" s="2"/>
      <c r="F35" s="2"/>
      <c r="G35" s="2"/>
      <c r="H35" s="18"/>
      <c r="I35" s="2"/>
      <c r="J35" s="2"/>
    </row>
    <row r="36" spans="2:10" ht="12.75">
      <c r="B36" s="58"/>
      <c r="C36" s="43"/>
      <c r="D36" s="43"/>
      <c r="E36" s="43"/>
      <c r="F36" s="43"/>
      <c r="G36" s="43"/>
      <c r="H36" s="44"/>
      <c r="I36" s="43"/>
      <c r="J36" s="59"/>
    </row>
    <row r="37" spans="2:10" ht="12.75">
      <c r="B37" s="46" t="s">
        <v>117</v>
      </c>
      <c r="C37" s="2"/>
      <c r="D37" s="2"/>
      <c r="E37" s="2"/>
      <c r="F37" s="57" t="s">
        <v>24</v>
      </c>
      <c r="G37" s="57" t="s">
        <v>4</v>
      </c>
      <c r="H37" s="2"/>
      <c r="I37" s="2"/>
      <c r="J37" s="60"/>
    </row>
    <row r="38" spans="2:11" ht="12.75">
      <c r="B38" s="48"/>
      <c r="C38" s="2"/>
      <c r="D38" s="2"/>
      <c r="E38" s="2"/>
      <c r="F38" s="17">
        <f>+'SP 1 - ER'!C9</f>
        <v>8000000</v>
      </c>
      <c r="G38" s="17">
        <f>+'SP 1 - ER'!D9</f>
        <v>0</v>
      </c>
      <c r="H38" s="17">
        <f>+G38-F38</f>
        <v>-8000000</v>
      </c>
      <c r="I38" s="2"/>
      <c r="J38" s="60">
        <f>+H38</f>
        <v>-8000000</v>
      </c>
      <c r="K38" t="s">
        <v>121</v>
      </c>
    </row>
    <row r="39" spans="2:11" ht="12.75">
      <c r="B39" s="50"/>
      <c r="C39" s="51"/>
      <c r="D39" s="51"/>
      <c r="E39" s="51"/>
      <c r="F39" s="51"/>
      <c r="G39" s="51"/>
      <c r="H39" s="52"/>
      <c r="I39" s="51"/>
      <c r="J39" s="56"/>
      <c r="K39" t="s">
        <v>118</v>
      </c>
    </row>
    <row r="40" spans="2:10" ht="12.75">
      <c r="B40" s="2"/>
      <c r="C40" s="2"/>
      <c r="D40" s="2"/>
      <c r="E40" s="2"/>
      <c r="F40" s="2"/>
      <c r="G40" s="2"/>
      <c r="H40" s="18"/>
      <c r="I40" s="2"/>
      <c r="J40" s="2"/>
    </row>
    <row r="41" ht="12.75">
      <c r="M41" s="1" t="s">
        <v>101</v>
      </c>
    </row>
    <row r="42" spans="2:14" ht="12.75">
      <c r="B42" s="37" t="s">
        <v>69</v>
      </c>
      <c r="C42" s="61"/>
      <c r="D42" s="61"/>
      <c r="E42" s="61"/>
      <c r="F42" s="61"/>
      <c r="G42" s="61"/>
      <c r="H42" s="62"/>
      <c r="I42" s="61"/>
      <c r="J42" s="40">
        <f>+SUM(J7:J41)</f>
        <v>960000</v>
      </c>
      <c r="M42" s="104">
        <f>+'SP 1 - ER'!D15</f>
        <v>960000</v>
      </c>
      <c r="N42" s="104" t="s">
        <v>103</v>
      </c>
    </row>
  </sheetData>
  <sheetProtection/>
  <printOptions/>
  <pageMargins left="0.5511811023622047" right="0.5511811023622047" top="0.984251968503937" bottom="0.984251968503937" header="0" footer="0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2"/>
  <sheetViews>
    <sheetView zoomScale="80" zoomScaleNormal="80" zoomScalePageLayoutView="0" workbookViewId="0" topLeftCell="A1">
      <selection activeCell="E24" sqref="E24:H32"/>
    </sheetView>
  </sheetViews>
  <sheetFormatPr defaultColWidth="11.421875" defaultRowHeight="12.75"/>
  <cols>
    <col min="1" max="1" width="24.57421875" style="0" bestFit="1" customWidth="1"/>
    <col min="2" max="3" width="13.00390625" style="0" bestFit="1" customWidth="1"/>
    <col min="5" max="5" width="24.57421875" style="0" bestFit="1" customWidth="1"/>
    <col min="6" max="6" width="12.28125" style="0" bestFit="1" customWidth="1"/>
    <col min="7" max="8" width="13.00390625" style="0" bestFit="1" customWidth="1"/>
  </cols>
  <sheetData>
    <row r="3" spans="1:3" ht="12.75">
      <c r="A3" s="158" t="s">
        <v>37</v>
      </c>
      <c r="B3" s="159"/>
      <c r="C3" s="159"/>
    </row>
    <row r="4" spans="1:3" ht="13.5" thickBot="1">
      <c r="A4" s="129"/>
      <c r="B4" s="129"/>
      <c r="C4" s="129"/>
    </row>
    <row r="5" spans="1:8" ht="13.5" thickBot="1">
      <c r="A5" s="130"/>
      <c r="B5" s="131" t="s">
        <v>27</v>
      </c>
      <c r="C5" s="131" t="s">
        <v>26</v>
      </c>
      <c r="E5" s="3"/>
      <c r="F5" s="7" t="s">
        <v>27</v>
      </c>
      <c r="G5" s="7" t="s">
        <v>26</v>
      </c>
      <c r="H5" s="7" t="s">
        <v>74</v>
      </c>
    </row>
    <row r="6" spans="1:7" ht="13.5" thickTop="1">
      <c r="A6" s="132" t="s">
        <v>11</v>
      </c>
      <c r="B6" s="133">
        <f>+'SP 1 - ESP'!C5</f>
        <v>8958333.333333328</v>
      </c>
      <c r="C6" s="133">
        <f>+'SP 1 - ESP'!D5</f>
        <v>2950000</v>
      </c>
      <c r="E6" s="12" t="s">
        <v>72</v>
      </c>
      <c r="F6" s="2"/>
      <c r="G6" s="2"/>
    </row>
    <row r="7" spans="1:10" ht="12.75">
      <c r="A7" s="134" t="s">
        <v>12</v>
      </c>
      <c r="B7" s="133">
        <f>+'SP 1 - ESP'!C6</f>
        <v>6666666.666666667</v>
      </c>
      <c r="C7" s="133">
        <f>+'SP 1 - ESP'!D6</f>
        <v>6720000</v>
      </c>
      <c r="E7" s="4" t="s">
        <v>11</v>
      </c>
      <c r="F7" s="8">
        <f>+B6</f>
        <v>8958333.333333328</v>
      </c>
      <c r="G7" s="8">
        <f>+C6</f>
        <v>2950000</v>
      </c>
      <c r="H7" s="6">
        <f>+G7-F7</f>
        <v>-6008333.333333328</v>
      </c>
      <c r="J7" s="6"/>
    </row>
    <row r="8" spans="1:10" ht="12.75">
      <c r="A8" s="134" t="s">
        <v>13</v>
      </c>
      <c r="B8" s="133">
        <f>+'SP 1 - ESP'!C7</f>
        <v>48000000</v>
      </c>
      <c r="C8" s="133">
        <f>+'SP 1 - ESP'!D7</f>
        <v>40000000</v>
      </c>
      <c r="E8" s="4" t="s">
        <v>21</v>
      </c>
      <c r="F8" s="8">
        <f>+B7-B11</f>
        <v>4166666.666666667</v>
      </c>
      <c r="G8" s="8">
        <f>+C7-C11</f>
        <v>4720000</v>
      </c>
      <c r="H8" s="6">
        <f>+G8-F8</f>
        <v>553333.333333333</v>
      </c>
      <c r="J8" s="6"/>
    </row>
    <row r="9" spans="1:10" ht="13.5" thickBot="1">
      <c r="A9" s="134" t="s">
        <v>30</v>
      </c>
      <c r="B9" s="133">
        <f>+'SP 1 - ESP'!C8</f>
        <v>-19700000</v>
      </c>
      <c r="C9" s="133">
        <f>+'SP 1 - ESP'!D8</f>
        <v>-27900000</v>
      </c>
      <c r="E9" s="4" t="s">
        <v>70</v>
      </c>
      <c r="F9" s="8">
        <f>+B8+B9</f>
        <v>28300000</v>
      </c>
      <c r="G9" s="8">
        <f>+C8+C9</f>
        <v>12100000</v>
      </c>
      <c r="H9" s="6">
        <f>+G9-F9</f>
        <v>-16200000</v>
      </c>
      <c r="J9" s="6"/>
    </row>
    <row r="10" spans="1:8" ht="13.5" thickTop="1">
      <c r="A10" s="135" t="s">
        <v>14</v>
      </c>
      <c r="B10" s="136">
        <f>SUM(B6:B9)</f>
        <v>43925000</v>
      </c>
      <c r="C10" s="136">
        <f>SUM(C6:C9)</f>
        <v>21770000</v>
      </c>
      <c r="E10" s="3" t="s">
        <v>71</v>
      </c>
      <c r="F10" s="9">
        <f>+SUM(F7:F9)</f>
        <v>41425000</v>
      </c>
      <c r="G10" s="9">
        <f>+SUM(G7:G9)</f>
        <v>19770000</v>
      </c>
      <c r="H10" s="13">
        <f>+G10-F10</f>
        <v>-21655000</v>
      </c>
    </row>
    <row r="11" spans="1:7" ht="12.75">
      <c r="A11" s="134" t="s">
        <v>15</v>
      </c>
      <c r="B11" s="133">
        <f>+'SP 1 - ESP'!C10</f>
        <v>2500000</v>
      </c>
      <c r="C11" s="133">
        <f>+'SP 1 - ESP'!D10</f>
        <v>2000000</v>
      </c>
      <c r="E11" s="2"/>
      <c r="F11" s="2"/>
      <c r="G11" s="2"/>
    </row>
    <row r="12" spans="1:7" ht="13.5" thickBot="1">
      <c r="A12" s="137" t="s">
        <v>29</v>
      </c>
      <c r="B12" s="133">
        <f>+'SP 1 - ESP'!C11</f>
        <v>1600000</v>
      </c>
      <c r="C12" s="133">
        <f>+'SP 1 - ESP'!D11</f>
        <v>4200000</v>
      </c>
      <c r="E12" s="3" t="s">
        <v>73</v>
      </c>
      <c r="F12" s="2"/>
      <c r="G12" s="2"/>
    </row>
    <row r="13" spans="1:10" ht="13.5" thickTop="1">
      <c r="A13" s="135" t="s">
        <v>16</v>
      </c>
      <c r="B13" s="136">
        <f>+B11+B12</f>
        <v>4100000</v>
      </c>
      <c r="C13" s="136">
        <f>+C11+C12</f>
        <v>6200000</v>
      </c>
      <c r="E13" s="4" t="s">
        <v>29</v>
      </c>
      <c r="F13" s="8">
        <f>+B12</f>
        <v>1600000</v>
      </c>
      <c r="G13" s="8">
        <f>+C12</f>
        <v>4200000</v>
      </c>
      <c r="H13" s="6">
        <f>+G13-F13</f>
        <v>2600000</v>
      </c>
      <c r="J13" s="6"/>
    </row>
    <row r="14" spans="1:10" ht="12.75">
      <c r="A14" s="134" t="s">
        <v>17</v>
      </c>
      <c r="B14" s="133">
        <f>+'SP 1 - ESP'!C13</f>
        <v>34000000</v>
      </c>
      <c r="C14" s="133">
        <f>+'SP 1 - ESP'!D13</f>
        <v>19000000</v>
      </c>
      <c r="E14" s="10" t="s">
        <v>22</v>
      </c>
      <c r="F14" s="8">
        <f>+B16</f>
        <v>39825000</v>
      </c>
      <c r="G14" s="8">
        <f>+C16</f>
        <v>15570000</v>
      </c>
      <c r="H14" s="6">
        <f>+G14-F14</f>
        <v>-24255000</v>
      </c>
      <c r="J14" s="6"/>
    </row>
    <row r="15" spans="1:8" ht="13.5" thickBot="1">
      <c r="A15" s="137" t="s">
        <v>18</v>
      </c>
      <c r="B15" s="138">
        <f>+'SP 1 - ESP'!C14</f>
        <v>5825000</v>
      </c>
      <c r="C15" s="138">
        <f>+'SP 1 - ESP'!D14</f>
        <v>-3430000</v>
      </c>
      <c r="E15" s="3" t="s">
        <v>23</v>
      </c>
      <c r="F15" s="9">
        <f>+SUM(F13:F14)</f>
        <v>41425000</v>
      </c>
      <c r="G15" s="9">
        <f>+SUM(G13:G14)</f>
        <v>19770000</v>
      </c>
      <c r="H15" s="13">
        <f>+G15-F15</f>
        <v>-21655000</v>
      </c>
    </row>
    <row r="16" spans="1:7" ht="13.5" thickTop="1">
      <c r="A16" s="135" t="s">
        <v>19</v>
      </c>
      <c r="B16" s="139">
        <f>+B14+B15</f>
        <v>39825000</v>
      </c>
      <c r="C16" s="139">
        <f>+C14+C15</f>
        <v>15570000</v>
      </c>
      <c r="E16" s="2"/>
      <c r="F16" s="2"/>
      <c r="G16" s="2"/>
    </row>
    <row r="17" spans="1:7" ht="13.5" thickBot="1">
      <c r="A17" s="140" t="s">
        <v>20</v>
      </c>
      <c r="B17" s="141">
        <f>+B13+B16</f>
        <v>43925000</v>
      </c>
      <c r="C17" s="141">
        <f>+C13+C16</f>
        <v>21770000</v>
      </c>
      <c r="E17" s="2"/>
      <c r="F17" s="11">
        <f>+F15-F10</f>
        <v>0</v>
      </c>
      <c r="G17" s="11">
        <f>+G15-G10</f>
        <v>0</v>
      </c>
    </row>
    <row r="24" spans="5:8" ht="12.75">
      <c r="E24" s="1" t="s">
        <v>75</v>
      </c>
      <c r="F24" s="1"/>
      <c r="G24" s="1"/>
      <c r="H24" s="13">
        <f>+F13</f>
        <v>1600000</v>
      </c>
    </row>
    <row r="26" spans="5:7" ht="12.75">
      <c r="E26" s="14" t="s">
        <v>76</v>
      </c>
      <c r="G26" s="6">
        <f>+H7</f>
        <v>-6008333.333333328</v>
      </c>
    </row>
    <row r="27" spans="5:7" ht="12.75">
      <c r="E27" s="14" t="s">
        <v>77</v>
      </c>
      <c r="G27" s="6">
        <f>+H8</f>
        <v>553333.333333333</v>
      </c>
    </row>
    <row r="28" spans="5:7" ht="12.75">
      <c r="E28" s="14" t="s">
        <v>78</v>
      </c>
      <c r="G28" s="6">
        <f>+H9</f>
        <v>-16200000</v>
      </c>
    </row>
    <row r="29" spans="5:7" ht="12.75">
      <c r="E29" s="14" t="s">
        <v>79</v>
      </c>
      <c r="G29" s="6">
        <f>-H14</f>
        <v>24255000</v>
      </c>
    </row>
    <row r="30" ht="12.75">
      <c r="H30" s="6">
        <f>+SUM(G26:G29)</f>
        <v>2600000.0000000037</v>
      </c>
    </row>
    <row r="32" spans="5:10" ht="12.75">
      <c r="E32" s="1" t="s">
        <v>80</v>
      </c>
      <c r="F32" s="1"/>
      <c r="G32" s="1"/>
      <c r="H32" s="13">
        <f>+H24+H30</f>
        <v>4200000.000000004</v>
      </c>
      <c r="I32" s="69" t="s">
        <v>102</v>
      </c>
      <c r="J32" s="6"/>
    </row>
  </sheetData>
  <sheetProtection/>
  <mergeCells count="1">
    <mergeCell ref="A3:C3"/>
  </mergeCells>
  <printOptions/>
  <pageMargins left="0.5511811023622047" right="0.35433070866141736" top="0.984251968503937" bottom="0.984251968503937" header="0" footer="0"/>
  <pageSetup fitToHeight="1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9">
      <selection activeCell="I12" sqref="I12"/>
    </sheetView>
  </sheetViews>
  <sheetFormatPr defaultColWidth="11.421875" defaultRowHeight="12.75"/>
  <cols>
    <col min="1" max="1" width="14.8515625" style="72" customWidth="1"/>
    <col min="2" max="2" width="39.421875" style="72" bestFit="1" customWidth="1"/>
    <col min="3" max="3" width="13.7109375" style="72" customWidth="1"/>
    <col min="4" max="4" width="13.57421875" style="72" bestFit="1" customWidth="1"/>
    <col min="5" max="5" width="14.28125" style="72" bestFit="1" customWidth="1"/>
    <col min="6" max="6" width="13.140625" style="72" bestFit="1" customWidth="1"/>
    <col min="7" max="7" width="7.421875" style="72" bestFit="1" customWidth="1"/>
    <col min="8" max="8" width="13.140625" style="72" bestFit="1" customWidth="1"/>
    <col min="9" max="10" width="14.7109375" style="72" customWidth="1"/>
    <col min="11" max="11" width="11.421875" style="72" customWidth="1"/>
    <col min="12" max="12" width="13.00390625" style="72" bestFit="1" customWidth="1"/>
    <col min="13" max="16384" width="11.421875" style="72" customWidth="1"/>
  </cols>
  <sheetData>
    <row r="1" spans="2:4" ht="15">
      <c r="B1" s="70" t="s">
        <v>105</v>
      </c>
      <c r="C1" s="71"/>
      <c r="D1" s="71"/>
    </row>
    <row r="2" spans="2:4" ht="15" customHeight="1" thickBot="1">
      <c r="B2" s="73"/>
      <c r="C2" s="74"/>
      <c r="D2" s="74"/>
    </row>
    <row r="3" spans="1:4" ht="15">
      <c r="A3" s="72" t="s">
        <v>106</v>
      </c>
      <c r="B3" s="77" t="s">
        <v>42</v>
      </c>
      <c r="C3" s="78" t="s">
        <v>46</v>
      </c>
      <c r="D3" s="79" t="s">
        <v>4</v>
      </c>
    </row>
    <row r="4" spans="1:4" ht="15" customHeight="1">
      <c r="A4" s="162" t="s">
        <v>109</v>
      </c>
      <c r="B4" s="80" t="s">
        <v>43</v>
      </c>
      <c r="C4" s="81">
        <v>800</v>
      </c>
      <c r="D4" s="82">
        <v>720</v>
      </c>
    </row>
    <row r="5" spans="1:9" ht="15">
      <c r="A5" s="162"/>
      <c r="B5" s="80" t="s">
        <v>44</v>
      </c>
      <c r="C5" s="81">
        <v>100000</v>
      </c>
      <c r="D5" s="82">
        <v>112000</v>
      </c>
      <c r="H5" s="72" t="s">
        <v>186</v>
      </c>
      <c r="I5" s="72">
        <f>+C14</f>
        <v>73333333.33333333</v>
      </c>
    </row>
    <row r="6" spans="1:9" ht="15">
      <c r="A6" s="162"/>
      <c r="B6" s="83" t="s">
        <v>48</v>
      </c>
      <c r="C6" s="142">
        <f>+C4*C5</f>
        <v>80000000</v>
      </c>
      <c r="D6" s="144">
        <f>+D4*D5</f>
        <v>80640000</v>
      </c>
      <c r="E6" s="72" t="s">
        <v>187</v>
      </c>
      <c r="H6" s="72" t="s">
        <v>189</v>
      </c>
      <c r="I6" s="72">
        <f>+C11</f>
        <v>6666666.666666667</v>
      </c>
    </row>
    <row r="7" spans="1:10" ht="15">
      <c r="A7" s="162"/>
      <c r="B7" s="83"/>
      <c r="C7" s="84"/>
      <c r="D7" s="85"/>
      <c r="I7" s="72" t="s">
        <v>0</v>
      </c>
      <c r="J7" s="72">
        <f>+C6</f>
        <v>80000000</v>
      </c>
    </row>
    <row r="8" spans="1:4" ht="15">
      <c r="A8" s="162"/>
      <c r="B8" s="83" t="s">
        <v>28</v>
      </c>
      <c r="C8" s="86" t="s">
        <v>46</v>
      </c>
      <c r="D8" s="87" t="s">
        <v>4</v>
      </c>
    </row>
    <row r="9" spans="1:4" ht="14.25">
      <c r="A9" s="162"/>
      <c r="B9" s="80" t="s">
        <v>55</v>
      </c>
      <c r="C9" s="86">
        <f>+C6/12</f>
        <v>6666666.666666667</v>
      </c>
      <c r="D9" s="87">
        <f>+D6/12</f>
        <v>6720000</v>
      </c>
    </row>
    <row r="10" spans="1:4" ht="14.25">
      <c r="A10" s="162"/>
      <c r="B10" s="80" t="s">
        <v>56</v>
      </c>
      <c r="C10" s="86">
        <v>1</v>
      </c>
      <c r="D10" s="87">
        <v>1</v>
      </c>
    </row>
    <row r="11" spans="1:5" ht="15">
      <c r="A11" s="162"/>
      <c r="B11" s="83" t="s">
        <v>41</v>
      </c>
      <c r="C11" s="142">
        <f>+C9*C10</f>
        <v>6666666.666666667</v>
      </c>
      <c r="D11" s="144">
        <f>+D9*D10</f>
        <v>6720000</v>
      </c>
      <c r="E11" s="72" t="s">
        <v>188</v>
      </c>
    </row>
    <row r="12" spans="1:4" ht="15">
      <c r="A12" s="162"/>
      <c r="B12" s="83"/>
      <c r="C12" s="84"/>
      <c r="D12" s="85"/>
    </row>
    <row r="13" spans="1:4" ht="15">
      <c r="A13" s="162"/>
      <c r="B13" s="83" t="s">
        <v>123</v>
      </c>
      <c r="C13" s="86" t="s">
        <v>46</v>
      </c>
      <c r="D13" s="87" t="s">
        <v>4</v>
      </c>
    </row>
    <row r="14" spans="1:5" ht="15.75" thickBot="1">
      <c r="A14" s="162"/>
      <c r="B14" s="118" t="s">
        <v>124</v>
      </c>
      <c r="C14" s="143">
        <f>+C6-C11</f>
        <v>73333333.33333333</v>
      </c>
      <c r="D14" s="145">
        <f>+D6-D11</f>
        <v>73920000</v>
      </c>
      <c r="E14" s="72" t="s">
        <v>188</v>
      </c>
    </row>
    <row r="15" spans="1:4" ht="15">
      <c r="A15" s="116"/>
      <c r="B15" s="117"/>
      <c r="C15" s="84"/>
      <c r="D15" s="84"/>
    </row>
    <row r="16" spans="2:4" ht="26.25" customHeight="1" thickBot="1">
      <c r="B16" s="73"/>
      <c r="C16" s="74"/>
      <c r="D16" s="74"/>
    </row>
    <row r="17" spans="1:4" ht="15">
      <c r="A17" s="72" t="s">
        <v>107</v>
      </c>
      <c r="B17" s="91" t="s">
        <v>10</v>
      </c>
      <c r="C17" s="78" t="s">
        <v>46</v>
      </c>
      <c r="D17" s="79" t="s">
        <v>4</v>
      </c>
    </row>
    <row r="18" spans="1:4" ht="15" customHeight="1">
      <c r="A18" s="162" t="s">
        <v>108</v>
      </c>
      <c r="B18" s="80" t="s">
        <v>47</v>
      </c>
      <c r="C18" s="81">
        <v>450</v>
      </c>
      <c r="D18" s="82">
        <v>490</v>
      </c>
    </row>
    <row r="19" spans="1:4" ht="15">
      <c r="A19" s="162"/>
      <c r="B19" s="80" t="s">
        <v>44</v>
      </c>
      <c r="C19" s="81">
        <f>+C5</f>
        <v>100000</v>
      </c>
      <c r="D19" s="82">
        <f>+D5</f>
        <v>112000</v>
      </c>
    </row>
    <row r="20" spans="1:4" ht="15">
      <c r="A20" s="162"/>
      <c r="B20" s="83" t="s">
        <v>48</v>
      </c>
      <c r="C20" s="142">
        <f>+C18*C19</f>
        <v>45000000</v>
      </c>
      <c r="D20" s="144">
        <f>+D18*D19</f>
        <v>54880000</v>
      </c>
    </row>
    <row r="21" spans="1:4" ht="15">
      <c r="A21" s="162"/>
      <c r="B21" s="83"/>
      <c r="C21" s="84"/>
      <c r="D21" s="85"/>
    </row>
    <row r="22" spans="1:4" ht="15">
      <c r="A22" s="162"/>
      <c r="B22" s="83" t="s">
        <v>15</v>
      </c>
      <c r="C22" s="86" t="s">
        <v>46</v>
      </c>
      <c r="D22" s="87" t="s">
        <v>4</v>
      </c>
    </row>
    <row r="23" spans="1:4" ht="15">
      <c r="A23" s="162"/>
      <c r="B23" s="83" t="s">
        <v>88</v>
      </c>
      <c r="C23" s="86">
        <v>15000000</v>
      </c>
      <c r="D23" s="87">
        <v>12000000</v>
      </c>
    </row>
    <row r="24" spans="1:4" ht="14.25">
      <c r="A24" s="162"/>
      <c r="B24" s="80" t="s">
        <v>57</v>
      </c>
      <c r="C24" s="86">
        <f>+C23/12</f>
        <v>1250000</v>
      </c>
      <c r="D24" s="87">
        <f>+D23/12</f>
        <v>1000000</v>
      </c>
    </row>
    <row r="25" spans="1:4" ht="14.25">
      <c r="A25" s="162"/>
      <c r="B25" s="80" t="s">
        <v>56</v>
      </c>
      <c r="C25" s="86">
        <v>2</v>
      </c>
      <c r="D25" s="87">
        <v>2</v>
      </c>
    </row>
    <row r="26" spans="1:4" ht="15">
      <c r="A26" s="162"/>
      <c r="B26" s="83" t="s">
        <v>41</v>
      </c>
      <c r="C26" s="142">
        <f>+C24*C25</f>
        <v>2500000</v>
      </c>
      <c r="D26" s="144">
        <f>+D24*D25</f>
        <v>2000000</v>
      </c>
    </row>
    <row r="27" spans="1:4" ht="15">
      <c r="A27" s="162"/>
      <c r="B27" s="83"/>
      <c r="C27" s="84"/>
      <c r="D27" s="85"/>
    </row>
    <row r="28" spans="1:4" ht="15">
      <c r="A28" s="162"/>
      <c r="B28" s="83" t="s">
        <v>125</v>
      </c>
      <c r="C28" s="84"/>
      <c r="D28" s="85"/>
    </row>
    <row r="29" spans="1:4" ht="14.25">
      <c r="A29" s="162"/>
      <c r="B29" s="80" t="s">
        <v>126</v>
      </c>
      <c r="C29" s="86">
        <f>+C20</f>
        <v>45000000</v>
      </c>
      <c r="D29" s="87">
        <f>+D20</f>
        <v>54880000</v>
      </c>
    </row>
    <row r="30" spans="1:4" ht="15" thickBot="1">
      <c r="A30" s="162"/>
      <c r="B30" s="118" t="s">
        <v>127</v>
      </c>
      <c r="C30" s="119">
        <f>+C23-C26</f>
        <v>12500000</v>
      </c>
      <c r="D30" s="120">
        <f>+D23-D26</f>
        <v>10000000</v>
      </c>
    </row>
    <row r="31" spans="1:4" ht="15">
      <c r="A31" s="116"/>
      <c r="B31" s="117"/>
      <c r="C31" s="84"/>
      <c r="D31" s="84"/>
    </row>
    <row r="32" spans="2:4" ht="42" customHeight="1" thickBot="1">
      <c r="B32" s="73"/>
      <c r="C32" s="74"/>
      <c r="D32" s="74"/>
    </row>
    <row r="33" spans="1:4" ht="15">
      <c r="A33" s="72" t="s">
        <v>110</v>
      </c>
      <c r="B33" s="91" t="s">
        <v>45</v>
      </c>
      <c r="C33" s="78" t="s">
        <v>46</v>
      </c>
      <c r="D33" s="79" t="s">
        <v>4</v>
      </c>
    </row>
    <row r="34" spans="1:4" ht="15">
      <c r="A34" s="161" t="s">
        <v>111</v>
      </c>
      <c r="B34" s="80" t="s">
        <v>49</v>
      </c>
      <c r="C34" s="81">
        <v>8000000</v>
      </c>
      <c r="D34" s="82">
        <v>0</v>
      </c>
    </row>
    <row r="35" spans="1:4" ht="14.25">
      <c r="A35" s="161"/>
      <c r="B35" s="80" t="s">
        <v>50</v>
      </c>
      <c r="C35" s="86">
        <v>0</v>
      </c>
      <c r="D35" s="87">
        <v>0</v>
      </c>
    </row>
    <row r="36" spans="1:4" ht="15">
      <c r="A36" s="161"/>
      <c r="B36" s="83" t="s">
        <v>48</v>
      </c>
      <c r="C36" s="84">
        <f>+C34-C35</f>
        <v>8000000</v>
      </c>
      <c r="D36" s="85">
        <f>+D34-D35</f>
        <v>0</v>
      </c>
    </row>
    <row r="37" spans="1:4" ht="15">
      <c r="A37" s="161"/>
      <c r="B37" s="83"/>
      <c r="C37" s="84"/>
      <c r="D37" s="85"/>
    </row>
    <row r="38" spans="1:4" ht="15">
      <c r="A38" s="161"/>
      <c r="B38" s="83" t="s">
        <v>52</v>
      </c>
      <c r="C38" s="86" t="s">
        <v>46</v>
      </c>
      <c r="D38" s="87" t="s">
        <v>4</v>
      </c>
    </row>
    <row r="39" spans="1:4" ht="14.25">
      <c r="A39" s="161"/>
      <c r="B39" s="80" t="s">
        <v>53</v>
      </c>
      <c r="C39" s="86">
        <v>4000000</v>
      </c>
      <c r="D39" s="87">
        <f>+C39</f>
        <v>4000000</v>
      </c>
    </row>
    <row r="40" spans="1:4" ht="15">
      <c r="A40" s="161"/>
      <c r="B40" s="80" t="s">
        <v>54</v>
      </c>
      <c r="C40" s="92">
        <v>0.05</v>
      </c>
      <c r="D40" s="93">
        <v>0.05</v>
      </c>
    </row>
    <row r="41" spans="1:4" ht="21" customHeight="1" thickBot="1">
      <c r="A41" s="161"/>
      <c r="B41" s="88" t="s">
        <v>48</v>
      </c>
      <c r="C41" s="143">
        <f>+C39*C40</f>
        <v>200000</v>
      </c>
      <c r="D41" s="145">
        <f>+D39*D40</f>
        <v>200000</v>
      </c>
    </row>
    <row r="42" spans="2:4" ht="24.75" customHeight="1" thickBot="1">
      <c r="B42" s="73"/>
      <c r="C42" s="74"/>
      <c r="D42" s="74"/>
    </row>
    <row r="43" spans="1:9" ht="15">
      <c r="A43" s="72" t="s">
        <v>112</v>
      </c>
      <c r="B43" s="91" t="s">
        <v>13</v>
      </c>
      <c r="C43" s="78" t="s">
        <v>46</v>
      </c>
      <c r="D43" s="78" t="s">
        <v>4</v>
      </c>
      <c r="E43" s="94"/>
      <c r="F43" s="94"/>
      <c r="G43" s="94"/>
      <c r="H43" s="94"/>
      <c r="I43" s="95"/>
    </row>
    <row r="44" spans="2:9" ht="14.25">
      <c r="B44" s="80" t="s">
        <v>38</v>
      </c>
      <c r="C44" s="86">
        <v>40000000</v>
      </c>
      <c r="D44" s="86">
        <f>+C44</f>
        <v>40000000</v>
      </c>
      <c r="E44" s="96"/>
      <c r="F44" s="96"/>
      <c r="G44" s="96"/>
      <c r="H44" s="96"/>
      <c r="I44" s="97"/>
    </row>
    <row r="45" spans="2:9" ht="14.25">
      <c r="B45" s="80" t="s">
        <v>39</v>
      </c>
      <c r="C45" s="86">
        <v>18000000</v>
      </c>
      <c r="D45" s="86">
        <v>0</v>
      </c>
      <c r="E45" s="96"/>
      <c r="F45" s="96"/>
      <c r="G45" s="96"/>
      <c r="H45" s="96"/>
      <c r="I45" s="97"/>
    </row>
    <row r="46" spans="2:9" ht="14.25">
      <c r="B46" s="80" t="s">
        <v>40</v>
      </c>
      <c r="C46" s="86">
        <v>-10000000</v>
      </c>
      <c r="D46" s="86">
        <v>0</v>
      </c>
      <c r="E46" s="96"/>
      <c r="F46" s="96"/>
      <c r="G46" s="96"/>
      <c r="H46" s="96"/>
      <c r="I46" s="97"/>
    </row>
    <row r="47" spans="2:9" ht="15">
      <c r="B47" s="83" t="s">
        <v>41</v>
      </c>
      <c r="C47" s="84">
        <f>+C44+C45+C46</f>
        <v>48000000</v>
      </c>
      <c r="D47" s="84">
        <f>+D44+D45+D46</f>
        <v>40000000</v>
      </c>
      <c r="E47" s="96"/>
      <c r="F47" s="96"/>
      <c r="G47" s="96"/>
      <c r="H47" s="96"/>
      <c r="I47" s="97"/>
    </row>
    <row r="48" spans="2:9" ht="7.5" customHeight="1">
      <c r="B48" s="80"/>
      <c r="C48" s="86"/>
      <c r="D48" s="86"/>
      <c r="E48" s="96"/>
      <c r="F48" s="96"/>
      <c r="G48" s="96"/>
      <c r="H48" s="96"/>
      <c r="I48" s="97"/>
    </row>
    <row r="49" spans="2:9" ht="15">
      <c r="B49" s="83"/>
      <c r="C49" s="84"/>
      <c r="D49" s="84"/>
      <c r="E49" s="96"/>
      <c r="F49" s="96"/>
      <c r="G49" s="96"/>
      <c r="H49" s="96"/>
      <c r="I49" s="97"/>
    </row>
    <row r="50" spans="2:9" ht="15">
      <c r="B50" s="98" t="s">
        <v>31</v>
      </c>
      <c r="C50" s="160" t="s">
        <v>46</v>
      </c>
      <c r="D50" s="160"/>
      <c r="E50" s="160"/>
      <c r="F50" s="160" t="s">
        <v>4</v>
      </c>
      <c r="G50" s="160"/>
      <c r="H50" s="160"/>
      <c r="I50" s="97"/>
    </row>
    <row r="51" spans="2:9" ht="14.25">
      <c r="B51" s="99"/>
      <c r="C51" s="75" t="s">
        <v>84</v>
      </c>
      <c r="D51" s="75" t="s">
        <v>85</v>
      </c>
      <c r="E51" s="75" t="s">
        <v>87</v>
      </c>
      <c r="F51" s="75" t="s">
        <v>84</v>
      </c>
      <c r="G51" s="75" t="s">
        <v>85</v>
      </c>
      <c r="H51" s="75" t="s">
        <v>87</v>
      </c>
      <c r="I51" s="97"/>
    </row>
    <row r="52" spans="2:9" ht="14.25">
      <c r="B52" s="100" t="s">
        <v>81</v>
      </c>
      <c r="C52" s="75">
        <v>16000000</v>
      </c>
      <c r="D52" s="75">
        <v>10</v>
      </c>
      <c r="E52" s="75">
        <f>+C52/D52</f>
        <v>1600000</v>
      </c>
      <c r="F52" s="75">
        <v>16000000</v>
      </c>
      <c r="G52" s="75">
        <v>10</v>
      </c>
      <c r="H52" s="146">
        <f>+F52/G52</f>
        <v>1600000</v>
      </c>
      <c r="I52" s="97"/>
    </row>
    <row r="53" spans="2:9" ht="14.25">
      <c r="B53" s="100" t="s">
        <v>82</v>
      </c>
      <c r="C53" s="75">
        <v>12000000</v>
      </c>
      <c r="D53" s="75">
        <v>10</v>
      </c>
      <c r="E53" s="75">
        <f>+C53/D53</f>
        <v>1200000</v>
      </c>
      <c r="F53" s="75">
        <v>12000000</v>
      </c>
      <c r="G53" s="75">
        <v>10</v>
      </c>
      <c r="H53" s="146">
        <f>+F53/G53</f>
        <v>1200000</v>
      </c>
      <c r="I53" s="97"/>
    </row>
    <row r="54" spans="2:9" ht="14.25">
      <c r="B54" s="100" t="s">
        <v>83</v>
      </c>
      <c r="C54" s="75"/>
      <c r="D54" s="75"/>
      <c r="E54" s="75"/>
      <c r="F54" s="75">
        <v>10000000</v>
      </c>
      <c r="G54" s="75">
        <v>10</v>
      </c>
      <c r="H54" s="146">
        <v>0</v>
      </c>
      <c r="I54" s="97"/>
    </row>
    <row r="55" spans="2:9" ht="14.25">
      <c r="B55" s="100" t="s">
        <v>51</v>
      </c>
      <c r="C55" s="75">
        <v>18000000</v>
      </c>
      <c r="D55" s="75">
        <v>10</v>
      </c>
      <c r="E55" s="75">
        <f>+C55/D55</f>
        <v>1800000</v>
      </c>
      <c r="F55" s="75"/>
      <c r="G55" s="75">
        <v>10</v>
      </c>
      <c r="H55" s="146">
        <f>+F55/G55</f>
        <v>0</v>
      </c>
      <c r="I55" s="97"/>
    </row>
    <row r="56" spans="2:9" ht="14.25">
      <c r="B56" s="100" t="s">
        <v>86</v>
      </c>
      <c r="C56" s="75">
        <v>2000000</v>
      </c>
      <c r="D56" s="75">
        <v>20</v>
      </c>
      <c r="E56" s="75">
        <f>+C56/D56</f>
        <v>100000</v>
      </c>
      <c r="F56" s="75">
        <v>2000000</v>
      </c>
      <c r="G56" s="75">
        <v>20</v>
      </c>
      <c r="H56" s="146">
        <f>+F56/G56</f>
        <v>100000</v>
      </c>
      <c r="I56" s="97"/>
    </row>
    <row r="57" spans="2:9" ht="15">
      <c r="B57" s="99"/>
      <c r="C57" s="76">
        <f>SUM(C52:C56)</f>
        <v>48000000</v>
      </c>
      <c r="D57" s="76"/>
      <c r="E57" s="76">
        <f>SUM(E52:E56)</f>
        <v>4700000</v>
      </c>
      <c r="F57" s="76">
        <f>SUM(F52:F56)</f>
        <v>40000000</v>
      </c>
      <c r="G57" s="76"/>
      <c r="H57" s="147">
        <f>SUM(H52:H56)</f>
        <v>2900000</v>
      </c>
      <c r="I57" s="97"/>
    </row>
    <row r="58" spans="2:9" ht="7.5" customHeight="1">
      <c r="B58" s="80"/>
      <c r="C58" s="86"/>
      <c r="D58" s="86"/>
      <c r="E58" s="96"/>
      <c r="F58" s="96"/>
      <c r="G58" s="96"/>
      <c r="H58" s="96"/>
      <c r="I58" s="97"/>
    </row>
    <row r="59" spans="2:9" ht="15">
      <c r="B59" s="83" t="s">
        <v>30</v>
      </c>
      <c r="C59" s="86" t="s">
        <v>46</v>
      </c>
      <c r="D59" s="86" t="s">
        <v>4</v>
      </c>
      <c r="E59" s="96"/>
      <c r="F59" s="96"/>
      <c r="G59" s="96"/>
      <c r="H59" s="96"/>
      <c r="I59" s="97"/>
    </row>
    <row r="60" spans="2:9" ht="14.25">
      <c r="B60" s="80" t="s">
        <v>38</v>
      </c>
      <c r="C60" s="86">
        <v>25000000</v>
      </c>
      <c r="D60" s="86">
        <f>+C60</f>
        <v>25000000</v>
      </c>
      <c r="E60" s="96"/>
      <c r="F60" s="96"/>
      <c r="G60" s="96"/>
      <c r="H60" s="96"/>
      <c r="I60" s="97"/>
    </row>
    <row r="61" spans="2:9" ht="14.25">
      <c r="B61" s="80" t="s">
        <v>31</v>
      </c>
      <c r="C61" s="86">
        <f>+E57</f>
        <v>4700000</v>
      </c>
      <c r="D61" s="86">
        <f>+H57</f>
        <v>2900000</v>
      </c>
      <c r="E61" s="96"/>
      <c r="F61" s="96"/>
      <c r="G61" s="96"/>
      <c r="H61" s="96"/>
      <c r="I61" s="97"/>
    </row>
    <row r="62" spans="2:9" ht="14.25">
      <c r="B62" s="80" t="s">
        <v>40</v>
      </c>
      <c r="C62" s="86">
        <v>-10000000</v>
      </c>
      <c r="D62" s="86">
        <v>0</v>
      </c>
      <c r="E62" s="96"/>
      <c r="F62" s="96"/>
      <c r="G62" s="96"/>
      <c r="H62" s="96"/>
      <c r="I62" s="97"/>
    </row>
    <row r="63" spans="2:9" ht="15.75" thickBot="1">
      <c r="B63" s="88" t="s">
        <v>41</v>
      </c>
      <c r="C63" s="143">
        <f>+SUM(C60:C62)</f>
        <v>19700000</v>
      </c>
      <c r="D63" s="143">
        <f>+SUM(D60:D62)</f>
        <v>27900000</v>
      </c>
      <c r="E63" s="101"/>
      <c r="F63" s="101"/>
      <c r="G63" s="101"/>
      <c r="H63" s="101"/>
      <c r="I63" s="102"/>
    </row>
    <row r="64" spans="2:4" ht="15" thickBot="1">
      <c r="B64" s="73"/>
      <c r="C64" s="74"/>
      <c r="D64" s="74"/>
    </row>
    <row r="65" spans="1:4" ht="15">
      <c r="A65" s="72" t="s">
        <v>113</v>
      </c>
      <c r="B65" s="91" t="s">
        <v>58</v>
      </c>
      <c r="C65" s="78" t="s">
        <v>46</v>
      </c>
      <c r="D65" s="79" t="s">
        <v>4</v>
      </c>
    </row>
    <row r="66" spans="2:4" ht="14.25">
      <c r="B66" s="80" t="s">
        <v>59</v>
      </c>
      <c r="C66" s="86">
        <v>4000000</v>
      </c>
      <c r="D66" s="87">
        <f>+C66</f>
        <v>4000000</v>
      </c>
    </row>
    <row r="67" spans="2:4" ht="14.25">
      <c r="B67" s="80" t="s">
        <v>60</v>
      </c>
      <c r="C67" s="86">
        <f>+C41</f>
        <v>200000</v>
      </c>
      <c r="D67" s="87">
        <f>+D41</f>
        <v>200000</v>
      </c>
    </row>
    <row r="68" spans="2:4" ht="14.25">
      <c r="B68" s="80" t="s">
        <v>61</v>
      </c>
      <c r="C68" s="86">
        <f>-C67</f>
        <v>-200000</v>
      </c>
      <c r="D68" s="87">
        <v>0</v>
      </c>
    </row>
    <row r="69" spans="2:4" ht="14.25">
      <c r="B69" s="80" t="s">
        <v>62</v>
      </c>
      <c r="C69" s="86">
        <f>-60%*C66</f>
        <v>-2400000</v>
      </c>
      <c r="D69" s="87">
        <f>0%*D66</f>
        <v>0</v>
      </c>
    </row>
    <row r="70" spans="2:4" ht="15.75" thickBot="1">
      <c r="B70" s="88" t="s">
        <v>41</v>
      </c>
      <c r="C70" s="143">
        <f>+SUM(C66:C69)</f>
        <v>1600000</v>
      </c>
      <c r="D70" s="145">
        <f>+SUM(D66:D69)</f>
        <v>4200000</v>
      </c>
    </row>
    <row r="71" spans="2:4" ht="15" thickBot="1">
      <c r="B71" s="73"/>
      <c r="C71" s="74"/>
      <c r="D71" s="74"/>
    </row>
    <row r="72" spans="1:4" ht="15">
      <c r="A72" s="72" t="s">
        <v>114</v>
      </c>
      <c r="B72" s="91" t="s">
        <v>17</v>
      </c>
      <c r="C72" s="78" t="s">
        <v>46</v>
      </c>
      <c r="D72" s="79" t="s">
        <v>4</v>
      </c>
    </row>
    <row r="73" spans="2:4" ht="14.25">
      <c r="B73" s="80" t="s">
        <v>59</v>
      </c>
      <c r="C73" s="86">
        <v>16000000</v>
      </c>
      <c r="D73" s="87">
        <f>+C73</f>
        <v>16000000</v>
      </c>
    </row>
    <row r="74" spans="2:4" ht="14.25">
      <c r="B74" s="80" t="s">
        <v>63</v>
      </c>
      <c r="C74" s="86">
        <v>18000000</v>
      </c>
      <c r="D74" s="87">
        <v>3000000</v>
      </c>
    </row>
    <row r="75" spans="2:4" ht="15.75" thickBot="1">
      <c r="B75" s="88" t="s">
        <v>41</v>
      </c>
      <c r="C75" s="89">
        <f>+C73+C74</f>
        <v>34000000</v>
      </c>
      <c r="D75" s="90">
        <f>+D73+D74</f>
        <v>19000000</v>
      </c>
    </row>
    <row r="76" spans="2:4" ht="15" thickBot="1">
      <c r="B76" s="73"/>
      <c r="C76" s="74"/>
      <c r="D76" s="74"/>
    </row>
    <row r="77" spans="1:4" ht="15">
      <c r="A77" s="72" t="s">
        <v>115</v>
      </c>
      <c r="B77" s="91" t="s">
        <v>18</v>
      </c>
      <c r="C77" s="78" t="s">
        <v>46</v>
      </c>
      <c r="D77" s="79" t="s">
        <v>4</v>
      </c>
    </row>
    <row r="78" spans="2:4" ht="14.25">
      <c r="B78" s="80" t="s">
        <v>59</v>
      </c>
      <c r="C78" s="86">
        <v>-4000000</v>
      </c>
      <c r="D78" s="87">
        <f>+C78</f>
        <v>-4000000</v>
      </c>
    </row>
    <row r="79" spans="2:4" ht="14.25">
      <c r="B79" s="80" t="s">
        <v>64</v>
      </c>
      <c r="C79" s="86">
        <f>+'SP 1 - ER'!C19</f>
        <v>9825000</v>
      </c>
      <c r="D79" s="87">
        <f>+'SP 1 - ER'!D19</f>
        <v>570000</v>
      </c>
    </row>
    <row r="80" spans="2:4" ht="15.75" thickBot="1">
      <c r="B80" s="88" t="s">
        <v>41</v>
      </c>
      <c r="C80" s="89">
        <f>+C79+C78</f>
        <v>5825000</v>
      </c>
      <c r="D80" s="90">
        <f>+D79+D78</f>
        <v>-3430000</v>
      </c>
    </row>
  </sheetData>
  <sheetProtection/>
  <mergeCells count="5">
    <mergeCell ref="C50:E50"/>
    <mergeCell ref="F50:H50"/>
    <mergeCell ref="A34:A41"/>
    <mergeCell ref="A4:A14"/>
    <mergeCell ref="A18:A30"/>
  </mergeCells>
  <printOptions/>
  <pageMargins left="0.35433070866141736" right="0.35433070866141736" top="0.3937007874015748" bottom="0.3937007874015748" header="0.5118110236220472" footer="0.5118110236220472"/>
  <pageSetup blackAndWhite="1" cellComments="asDisplayed" horizontalDpi="600" verticalDpi="600" orientation="landscape" paperSize="9" scale="82" r:id="rId3"/>
  <rowBreaks count="1" manualBreakCount="1">
    <brk id="4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J31"/>
  <sheetViews>
    <sheetView tabSelected="1" zoomScalePageLayoutView="0" workbookViewId="0" topLeftCell="A4">
      <selection activeCell="J5" sqref="J5"/>
    </sheetView>
  </sheetViews>
  <sheetFormatPr defaultColWidth="11.421875" defaultRowHeight="12.75"/>
  <cols>
    <col min="2" max="2" width="40.421875" style="0" bestFit="1" customWidth="1"/>
    <col min="3" max="4" width="11.8515625" style="0" bestFit="1" customWidth="1"/>
    <col min="5" max="5" width="2.28125" style="0" customWidth="1"/>
    <col min="6" max="6" width="11.8515625" style="0" bestFit="1" customWidth="1"/>
    <col min="8" max="8" width="40.421875" style="0" bestFit="1" customWidth="1"/>
    <col min="9" max="9" width="12.8515625" style="216" bestFit="1" customWidth="1"/>
  </cols>
  <sheetData>
    <row r="3" spans="2:4" ht="12.75">
      <c r="B3" s="152" t="s">
        <v>34</v>
      </c>
      <c r="C3" s="153"/>
      <c r="D3" s="154"/>
    </row>
    <row r="4" spans="2:4" ht="12.75">
      <c r="B4" s="20"/>
      <c r="C4" s="19"/>
      <c r="D4" s="19"/>
    </row>
    <row r="5" spans="2:10" ht="13.5" thickBot="1">
      <c r="B5" s="28"/>
      <c r="C5" s="29" t="s">
        <v>27</v>
      </c>
      <c r="D5" s="29" t="s">
        <v>26</v>
      </c>
      <c r="F5" s="211" t="s">
        <v>174</v>
      </c>
      <c r="H5" s="213" t="s">
        <v>190</v>
      </c>
      <c r="J5" s="239">
        <f>+C16</f>
        <v>13300000</v>
      </c>
    </row>
    <row r="6" spans="2:4" ht="13.5" thickTop="1">
      <c r="B6" s="19"/>
      <c r="C6" s="19"/>
      <c r="D6" s="19"/>
    </row>
    <row r="7" spans="2:8" ht="12.75">
      <c r="B7" s="19" t="s">
        <v>0</v>
      </c>
      <c r="C7" s="163">
        <v>80000000</v>
      </c>
      <c r="D7" s="163">
        <v>80640000</v>
      </c>
      <c r="F7" s="233">
        <f>+D7-C7</f>
        <v>640000</v>
      </c>
      <c r="H7" s="1" t="s">
        <v>0</v>
      </c>
    </row>
    <row r="8" spans="2:9" ht="13.5" thickBot="1">
      <c r="B8" s="30" t="s">
        <v>10</v>
      </c>
      <c r="C8" s="164">
        <v>-45000000</v>
      </c>
      <c r="D8" s="164">
        <v>-54880000</v>
      </c>
      <c r="F8" s="230">
        <f aca="true" t="shared" si="0" ref="F8:F20">+D8-C8</f>
        <v>-9880000</v>
      </c>
      <c r="H8" s="224" t="s">
        <v>175</v>
      </c>
      <c r="I8" s="216">
        <f>+(112000-100000)*800</f>
        <v>9600000</v>
      </c>
    </row>
    <row r="9" spans="2:8" ht="13.5" thickTop="1">
      <c r="B9" s="31" t="s">
        <v>5</v>
      </c>
      <c r="C9" s="106">
        <v>35000000</v>
      </c>
      <c r="D9" s="106">
        <v>25760000</v>
      </c>
      <c r="F9" s="13">
        <f t="shared" si="0"/>
        <v>-9240000</v>
      </c>
      <c r="H9" s="215" t="s">
        <v>170</v>
      </c>
    </row>
    <row r="10" spans="2:8" ht="12.75">
      <c r="B10" s="20" t="s">
        <v>45</v>
      </c>
      <c r="C10" s="170">
        <v>8000000</v>
      </c>
      <c r="D10" s="170">
        <v>0</v>
      </c>
      <c r="F10" s="233">
        <f t="shared" si="0"/>
        <v>-8000000</v>
      </c>
      <c r="H10" s="224" t="s">
        <v>176</v>
      </c>
    </row>
    <row r="11" spans="2:10" ht="12.75">
      <c r="B11" s="31" t="s">
        <v>6</v>
      </c>
      <c r="C11" s="106">
        <v>-25000000</v>
      </c>
      <c r="D11" s="106">
        <v>-21900000</v>
      </c>
      <c r="F11" s="228">
        <f t="shared" si="0"/>
        <v>3100000</v>
      </c>
      <c r="H11" s="215" t="s">
        <v>171</v>
      </c>
      <c r="I11" s="226">
        <f>+(720-800)*112000</f>
        <v>-8960000</v>
      </c>
      <c r="J11" s="232">
        <f>+I8+I11</f>
        <v>640000</v>
      </c>
    </row>
    <row r="12" spans="2:6" ht="12.75">
      <c r="B12" s="32" t="s">
        <v>32</v>
      </c>
      <c r="C12" s="168">
        <v>-10000000</v>
      </c>
      <c r="D12" s="168">
        <v>-9900000</v>
      </c>
      <c r="F12" s="6">
        <f t="shared" si="0"/>
        <v>100000</v>
      </c>
    </row>
    <row r="13" spans="2:8" ht="12.75">
      <c r="B13" s="32" t="s">
        <v>33</v>
      </c>
      <c r="C13" s="168">
        <v>-15000000</v>
      </c>
      <c r="D13" s="168">
        <v>-12000000</v>
      </c>
      <c r="F13" s="6">
        <f t="shared" si="0"/>
        <v>3000000</v>
      </c>
      <c r="H13" s="213" t="str">
        <f>+B8</f>
        <v>Costo de Ventas</v>
      </c>
    </row>
    <row r="14" spans="2:8" ht="12.75">
      <c r="B14" s="31" t="s">
        <v>7</v>
      </c>
      <c r="C14" s="106">
        <v>18000000</v>
      </c>
      <c r="D14" s="106">
        <v>3860000</v>
      </c>
      <c r="F14" s="13">
        <f t="shared" si="0"/>
        <v>-14140000</v>
      </c>
      <c r="H14" s="225" t="s">
        <v>94</v>
      </c>
    </row>
    <row r="15" spans="2:9" ht="13.5" thickBot="1">
      <c r="B15" s="30" t="s">
        <v>31</v>
      </c>
      <c r="C15" s="172">
        <v>-4700000</v>
      </c>
      <c r="D15" s="172">
        <v>-2900000</v>
      </c>
      <c r="F15" s="230">
        <f t="shared" si="0"/>
        <v>1800000</v>
      </c>
      <c r="H15" s="215" t="s">
        <v>179</v>
      </c>
      <c r="I15" s="216">
        <f>+(100000-112000)*490</f>
        <v>-5880000</v>
      </c>
    </row>
    <row r="16" spans="2:8" ht="13.5" thickTop="1">
      <c r="B16" s="31" t="s">
        <v>25</v>
      </c>
      <c r="C16" s="238">
        <v>13300000</v>
      </c>
      <c r="D16" s="240">
        <v>960000</v>
      </c>
      <c r="F16" s="13">
        <f t="shared" si="0"/>
        <v>-12340000</v>
      </c>
      <c r="H16" s="225" t="s">
        <v>93</v>
      </c>
    </row>
    <row r="17" spans="2:9" ht="13.5" thickBot="1">
      <c r="B17" s="30" t="s">
        <v>35</v>
      </c>
      <c r="C17" s="174">
        <v>-200000</v>
      </c>
      <c r="D17" s="174">
        <v>-200000</v>
      </c>
      <c r="F17" s="227">
        <f t="shared" si="0"/>
        <v>0</v>
      </c>
      <c r="H17" s="215" t="s">
        <v>177</v>
      </c>
      <c r="I17" s="216">
        <f>+(450-490)*112000</f>
        <v>-4480000</v>
      </c>
    </row>
    <row r="18" spans="2:8" ht="13.5" thickTop="1">
      <c r="B18" s="31" t="s">
        <v>8</v>
      </c>
      <c r="C18" s="106">
        <v>13100000</v>
      </c>
      <c r="D18" s="106">
        <v>760000</v>
      </c>
      <c r="F18" s="13">
        <f t="shared" si="0"/>
        <v>-12340000</v>
      </c>
      <c r="H18" s="225" t="s">
        <v>92</v>
      </c>
    </row>
    <row r="19" spans="2:10" ht="13.5" thickBot="1">
      <c r="B19" s="30" t="s">
        <v>36</v>
      </c>
      <c r="C19" s="148">
        <v>-3275000</v>
      </c>
      <c r="D19" s="148">
        <v>-190000</v>
      </c>
      <c r="F19" s="227">
        <f t="shared" si="0"/>
        <v>3085000</v>
      </c>
      <c r="H19" s="215" t="s">
        <v>178</v>
      </c>
      <c r="I19" s="226">
        <f>+(450-490)*(100000-112000)</f>
        <v>480000</v>
      </c>
      <c r="J19" s="232">
        <f>+I19+I17+I15</f>
        <v>-9880000</v>
      </c>
    </row>
    <row r="20" spans="2:6" ht="13.5" thickTop="1">
      <c r="B20" s="31" t="s">
        <v>9</v>
      </c>
      <c r="C20" s="106">
        <v>9825000</v>
      </c>
      <c r="D20" s="106">
        <v>570000</v>
      </c>
      <c r="F20" s="13">
        <f t="shared" si="0"/>
        <v>-9255000</v>
      </c>
    </row>
    <row r="21" spans="8:10" ht="12.75">
      <c r="H21" s="213" t="str">
        <f>+B10</f>
        <v>Otros ingresos</v>
      </c>
      <c r="I21" s="216">
        <f>+D10-C10</f>
        <v>-8000000</v>
      </c>
      <c r="J21" s="232">
        <f>+I21</f>
        <v>-8000000</v>
      </c>
    </row>
    <row r="23" spans="2:8" ht="13.5" thickBot="1">
      <c r="B23" s="214" t="s">
        <v>180</v>
      </c>
      <c r="C23" s="48"/>
      <c r="H23" s="213" t="str">
        <f>+B11</f>
        <v>Gastos de Administración y Ventas</v>
      </c>
    </row>
    <row r="24" spans="2:10" ht="12.75">
      <c r="B24" s="221"/>
      <c r="C24" s="217"/>
      <c r="D24" s="245"/>
      <c r="H24" s="214" t="s">
        <v>182</v>
      </c>
      <c r="I24" s="229">
        <f>-C11+D11</f>
        <v>3100000</v>
      </c>
      <c r="J24" s="212">
        <f>+I24</f>
        <v>3100000</v>
      </c>
    </row>
    <row r="25" spans="2:8" ht="12.75">
      <c r="B25" s="221"/>
      <c r="C25" s="217"/>
      <c r="D25" s="246"/>
      <c r="H25" s="213" t="str">
        <f>+B15</f>
        <v>Depreciaciones</v>
      </c>
    </row>
    <row r="26" spans="2:10" ht="13.5" thickBot="1">
      <c r="B26" s="221"/>
      <c r="C26" s="219"/>
      <c r="D26" s="247"/>
      <c r="H26" s="221" t="str">
        <f>+H24</f>
        <v>`Ptado - Real</v>
      </c>
      <c r="I26" s="231">
        <f>-C15+D15</f>
        <v>1800000</v>
      </c>
      <c r="J26" s="234">
        <f>+I26</f>
        <v>1800000</v>
      </c>
    </row>
    <row r="27" spans="2:4" ht="12.75">
      <c r="B27" s="214" t="s">
        <v>181</v>
      </c>
      <c r="C27" s="222"/>
      <c r="D27" s="218"/>
    </row>
    <row r="28" spans="3:10" ht="12.75">
      <c r="C28" s="222"/>
      <c r="D28" s="218"/>
      <c r="H28" s="1" t="s">
        <v>183</v>
      </c>
      <c r="J28" s="241">
        <f>+J5+J11+J19+J21+J26+J24</f>
        <v>960000</v>
      </c>
    </row>
    <row r="29" spans="3:5" ht="12.75">
      <c r="C29" s="223"/>
      <c r="D29" s="220"/>
      <c r="E29" s="51"/>
    </row>
    <row r="30" spans="3:5" ht="12.75">
      <c r="C30" s="214" t="s">
        <v>173</v>
      </c>
      <c r="E30" s="210" t="s">
        <v>172</v>
      </c>
    </row>
    <row r="31" spans="3:6" ht="12.75">
      <c r="C31" s="5">
        <v>100000</v>
      </c>
      <c r="F31" s="235">
        <v>112000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K28"/>
  <sheetViews>
    <sheetView zoomScalePageLayoutView="0" workbookViewId="0" topLeftCell="A1">
      <selection activeCell="J28" sqref="J28"/>
    </sheetView>
  </sheetViews>
  <sheetFormatPr defaultColWidth="11.421875" defaultRowHeight="12.75"/>
  <cols>
    <col min="2" max="2" width="24.57421875" style="0" bestFit="1" customWidth="1"/>
    <col min="3" max="3" width="11.8515625" style="0" bestFit="1" customWidth="1"/>
    <col min="4" max="4" width="15.57421875" style="0" customWidth="1"/>
    <col min="7" max="7" width="20.421875" style="0" bestFit="1" customWidth="1"/>
    <col min="8" max="8" width="11.28125" style="0" bestFit="1" customWidth="1"/>
    <col min="9" max="10" width="11.8515625" style="0" bestFit="1" customWidth="1"/>
  </cols>
  <sheetData>
    <row r="3" spans="2:4" ht="12.75">
      <c r="B3" s="155" t="s">
        <v>37</v>
      </c>
      <c r="C3" s="156"/>
      <c r="D3" s="157"/>
    </row>
    <row r="4" spans="2:4" ht="13.5" thickBot="1">
      <c r="B4" s="21"/>
      <c r="C4" s="21"/>
      <c r="D4" s="21"/>
    </row>
    <row r="5" spans="2:5" ht="13.5" thickBot="1">
      <c r="B5" s="22"/>
      <c r="C5" s="149" t="s">
        <v>27</v>
      </c>
      <c r="D5" s="149" t="s">
        <v>26</v>
      </c>
      <c r="E5" s="211" t="s">
        <v>174</v>
      </c>
    </row>
    <row r="6" spans="2:10" ht="13.5" thickTop="1">
      <c r="B6" s="23" t="s">
        <v>11</v>
      </c>
      <c r="C6" s="209">
        <v>8958333.333333328</v>
      </c>
      <c r="D6" s="209">
        <v>2950000</v>
      </c>
      <c r="E6" s="6">
        <f>+D6-C6</f>
        <v>-6008333.333333328</v>
      </c>
      <c r="G6" s="3"/>
      <c r="H6" s="7" t="s">
        <v>27</v>
      </c>
      <c r="I6" s="7" t="s">
        <v>26</v>
      </c>
      <c r="J6" s="7" t="s">
        <v>74</v>
      </c>
    </row>
    <row r="7" spans="2:9" ht="12.75">
      <c r="B7" s="24" t="s">
        <v>12</v>
      </c>
      <c r="C7" s="175">
        <v>6666666.666666667</v>
      </c>
      <c r="D7" s="177">
        <v>6720000</v>
      </c>
      <c r="G7" s="12" t="s">
        <v>72</v>
      </c>
      <c r="H7" s="2"/>
      <c r="I7" s="2"/>
    </row>
    <row r="8" spans="2:10" ht="12.75">
      <c r="B8" s="24" t="s">
        <v>13</v>
      </c>
      <c r="C8" s="179">
        <v>48000000</v>
      </c>
      <c r="D8" s="179">
        <v>40000000</v>
      </c>
      <c r="G8" s="4" t="s">
        <v>11</v>
      </c>
      <c r="H8" s="8">
        <f>+C6</f>
        <v>8958333.333333328</v>
      </c>
      <c r="I8" s="8">
        <f>+D6</f>
        <v>2950000</v>
      </c>
      <c r="J8" s="6">
        <f>+I8-H8</f>
        <v>-6008333.333333328</v>
      </c>
    </row>
    <row r="9" spans="2:10" ht="13.5" thickBot="1">
      <c r="B9" s="24" t="s">
        <v>30</v>
      </c>
      <c r="C9" s="180">
        <v>-19700000</v>
      </c>
      <c r="D9" s="180">
        <v>-27900000</v>
      </c>
      <c r="G9" s="248" t="s">
        <v>21</v>
      </c>
      <c r="H9" s="8">
        <f>+C7-C11</f>
        <v>4166666.666666667</v>
      </c>
      <c r="I9" s="8">
        <f>+D7-D11</f>
        <v>4720000</v>
      </c>
      <c r="J9" s="6">
        <f>+I9-H9</f>
        <v>553333.333333333</v>
      </c>
    </row>
    <row r="10" spans="2:10" ht="13.5" thickTop="1">
      <c r="B10" s="25" t="s">
        <v>14</v>
      </c>
      <c r="C10" s="107">
        <v>43925000</v>
      </c>
      <c r="D10" s="107">
        <v>21770000</v>
      </c>
      <c r="G10" s="4" t="s">
        <v>70</v>
      </c>
      <c r="H10" s="8">
        <f>+C8+C9</f>
        <v>28300000</v>
      </c>
      <c r="I10" s="8">
        <f>+D8+D9</f>
        <v>12100000</v>
      </c>
      <c r="J10" s="6">
        <f>+I10-H10</f>
        <v>-16200000</v>
      </c>
    </row>
    <row r="11" spans="2:10" ht="12.75">
      <c r="B11" s="24" t="s">
        <v>15</v>
      </c>
      <c r="C11" s="181">
        <v>2500000</v>
      </c>
      <c r="D11" s="177">
        <v>2000000</v>
      </c>
      <c r="G11" s="3" t="s">
        <v>71</v>
      </c>
      <c r="H11" s="9">
        <f>+SUM(H8:H10)</f>
        <v>41425000</v>
      </c>
      <c r="I11" s="9">
        <f>+SUM(I8:I10)</f>
        <v>19770000</v>
      </c>
      <c r="J11" s="249">
        <f>+I11-H11</f>
        <v>-21655000</v>
      </c>
    </row>
    <row r="12" spans="2:9" ht="13.5" thickBot="1">
      <c r="B12" s="26" t="s">
        <v>29</v>
      </c>
      <c r="C12" s="244">
        <v>1600000</v>
      </c>
      <c r="D12" s="242">
        <v>4200000</v>
      </c>
      <c r="E12" s="250">
        <f>+D12-C12</f>
        <v>2600000</v>
      </c>
      <c r="G12" s="2"/>
      <c r="H12" s="2"/>
      <c r="I12" s="2"/>
    </row>
    <row r="13" spans="2:9" ht="13.5" thickTop="1">
      <c r="B13" s="25" t="s">
        <v>16</v>
      </c>
      <c r="C13" s="107">
        <v>4100000</v>
      </c>
      <c r="D13" s="107">
        <v>6200000</v>
      </c>
      <c r="G13" s="3" t="s">
        <v>73</v>
      </c>
      <c r="H13" s="2"/>
      <c r="I13" s="2"/>
    </row>
    <row r="14" spans="2:10" ht="12.75">
      <c r="B14" s="24" t="s">
        <v>17</v>
      </c>
      <c r="C14" s="189">
        <v>34000000</v>
      </c>
      <c r="D14" s="189">
        <v>19000000</v>
      </c>
      <c r="G14" s="4" t="s">
        <v>29</v>
      </c>
      <c r="H14" s="8">
        <f>+C12</f>
        <v>1600000</v>
      </c>
      <c r="I14" s="8">
        <f>+D12</f>
        <v>4200000</v>
      </c>
      <c r="J14" s="250">
        <f>+I14-H14</f>
        <v>2600000</v>
      </c>
    </row>
    <row r="15" spans="2:10" ht="13.5" thickBot="1">
      <c r="B15" s="26" t="s">
        <v>18</v>
      </c>
      <c r="C15" s="188">
        <v>5825000</v>
      </c>
      <c r="D15" s="188">
        <v>-3430000</v>
      </c>
      <c r="G15" s="10" t="s">
        <v>22</v>
      </c>
      <c r="H15" s="8">
        <f>+C14+C15</f>
        <v>39825000</v>
      </c>
      <c r="I15" s="8">
        <f>+D14+D15</f>
        <v>15570000</v>
      </c>
      <c r="J15" s="6">
        <f>+I15-H15</f>
        <v>-24255000</v>
      </c>
    </row>
    <row r="16" spans="2:10" ht="13.5" thickTop="1">
      <c r="B16" s="25" t="s">
        <v>19</v>
      </c>
      <c r="C16" s="150">
        <v>39825000</v>
      </c>
      <c r="D16" s="150">
        <v>15570000</v>
      </c>
      <c r="G16" s="3" t="s">
        <v>23</v>
      </c>
      <c r="H16" s="9">
        <f>+SUM(H14:H15)</f>
        <v>41425000</v>
      </c>
      <c r="I16" s="9">
        <f>+SUM(I14:I15)</f>
        <v>19770000</v>
      </c>
      <c r="J16" s="249">
        <f>+I16-H16</f>
        <v>-21655000</v>
      </c>
    </row>
    <row r="17" spans="2:4" ht="13.5" thickBot="1">
      <c r="B17" s="27" t="s">
        <v>20</v>
      </c>
      <c r="C17" s="151">
        <v>43925000</v>
      </c>
      <c r="D17" s="151">
        <v>21770000</v>
      </c>
    </row>
    <row r="20" spans="7:11" ht="12.75">
      <c r="G20" s="1" t="s">
        <v>75</v>
      </c>
      <c r="H20" s="1"/>
      <c r="I20" s="1"/>
      <c r="J20" s="239">
        <f>+C12</f>
        <v>1600000</v>
      </c>
      <c r="K20" s="210" t="s">
        <v>184</v>
      </c>
    </row>
    <row r="22" spans="7:9" ht="12.75">
      <c r="G22" s="14" t="s">
        <v>76</v>
      </c>
      <c r="I22" s="6">
        <f>+J8</f>
        <v>-6008333.333333328</v>
      </c>
    </row>
    <row r="23" spans="7:9" ht="12.75">
      <c r="G23" s="14" t="s">
        <v>77</v>
      </c>
      <c r="I23" s="6">
        <f>+J9</f>
        <v>553333.333333333</v>
      </c>
    </row>
    <row r="24" spans="7:9" ht="12.75">
      <c r="G24" s="14" t="s">
        <v>78</v>
      </c>
      <c r="I24" s="6">
        <f>+J10</f>
        <v>-16200000</v>
      </c>
    </row>
    <row r="25" spans="7:10" ht="12.75">
      <c r="G25" s="14" t="s">
        <v>79</v>
      </c>
      <c r="I25" s="227">
        <f>-J15</f>
        <v>24255000</v>
      </c>
      <c r="J25" s="250">
        <f>+SUM(I22:I25)</f>
        <v>2600000.0000000037</v>
      </c>
    </row>
    <row r="28" spans="7:11" ht="12.75">
      <c r="G28" s="1" t="s">
        <v>80</v>
      </c>
      <c r="H28" s="1"/>
      <c r="I28" s="1"/>
      <c r="J28" s="243">
        <f>+J20+J25</f>
        <v>4200000.000000004</v>
      </c>
      <c r="K28" s="210" t="s">
        <v>4</v>
      </c>
    </row>
  </sheetData>
  <sheetProtection/>
  <mergeCells count="1"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Perez</dc:creator>
  <cp:keywords/>
  <dc:description/>
  <cp:lastModifiedBy>Ana</cp:lastModifiedBy>
  <cp:lastPrinted>2017-03-15T20:48:42Z</cp:lastPrinted>
  <dcterms:created xsi:type="dcterms:W3CDTF">2003-03-30T21:30:27Z</dcterms:created>
  <dcterms:modified xsi:type="dcterms:W3CDTF">2020-10-30T21:15:12Z</dcterms:modified>
  <cp:category/>
  <cp:version/>
  <cp:contentType/>
  <cp:contentStatus/>
</cp:coreProperties>
</file>