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140"/>
  </bookViews>
  <sheets>
    <sheet name="CALCULO DE INDICADOR AMBIENTAL " sheetId="7" r:id="rId1"/>
    <sheet name="LISTADO " sheetId="8" r:id="rId2"/>
    <sheet name="EJEMPLO KWH-AISLACION CUBA" sheetId="3" r:id="rId3"/>
    <sheet name="EJEMPLO GAS -CALDERETA" sheetId="1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7" l="1"/>
  <c r="C25" i="7"/>
  <c r="C26" i="7" s="1"/>
  <c r="C24" i="7"/>
  <c r="C19" i="7"/>
  <c r="C18" i="7"/>
  <c r="C17" i="7"/>
  <c r="C16" i="7"/>
  <c r="C15" i="7"/>
  <c r="O34" i="8"/>
  <c r="O33" i="8"/>
  <c r="O32" i="8"/>
  <c r="K32" i="8"/>
  <c r="O31" i="8"/>
  <c r="K31" i="8"/>
  <c r="O30" i="8"/>
  <c r="O29" i="8"/>
  <c r="O28" i="8"/>
  <c r="O27" i="8"/>
  <c r="O26" i="8"/>
  <c r="O25" i="8"/>
  <c r="O24" i="8"/>
  <c r="K23" i="8"/>
  <c r="O23" i="8" s="1"/>
  <c r="K22" i="8"/>
  <c r="O22" i="8" s="1"/>
  <c r="K21" i="8"/>
  <c r="O21" i="8" s="1"/>
  <c r="K20" i="8"/>
  <c r="O20" i="8" s="1"/>
  <c r="K19" i="8"/>
  <c r="O19" i="8" s="1"/>
  <c r="K18" i="8"/>
  <c r="O18" i="8" s="1"/>
  <c r="K17" i="8"/>
  <c r="O17" i="8" s="1"/>
  <c r="O16" i="8"/>
  <c r="O15" i="8"/>
  <c r="O14" i="8"/>
  <c r="O13" i="8"/>
  <c r="O12" i="8"/>
  <c r="O11" i="8"/>
  <c r="O10" i="8"/>
  <c r="O9" i="8"/>
  <c r="O8" i="8"/>
  <c r="O7" i="8"/>
  <c r="K7" i="8"/>
  <c r="O6" i="8"/>
  <c r="K6" i="8"/>
  <c r="O5" i="8"/>
  <c r="O4" i="8"/>
  <c r="C27" i="7" l="1"/>
  <c r="F45" i="3" l="1"/>
  <c r="F44" i="3"/>
  <c r="D45" i="3"/>
  <c r="D44" i="3"/>
  <c r="D38" i="3"/>
  <c r="D39" i="3"/>
  <c r="D41" i="3" s="1"/>
  <c r="U6" i="3"/>
  <c r="N6" i="3"/>
  <c r="F46" i="3" l="1"/>
  <c r="D42" i="3"/>
  <c r="E46" i="1"/>
  <c r="E47" i="1" s="1"/>
  <c r="E44" i="1"/>
  <c r="F33" i="3" l="1"/>
  <c r="F10" i="3"/>
  <c r="R10" i="3" s="1"/>
  <c r="S10" i="3" s="1"/>
  <c r="N7" i="3"/>
  <c r="N8" i="3"/>
  <c r="N9" i="3"/>
  <c r="N10" i="3"/>
  <c r="N11" i="3"/>
  <c r="N12" i="3"/>
  <c r="N13" i="3"/>
  <c r="N14" i="3"/>
  <c r="N15" i="3"/>
  <c r="N16" i="3"/>
  <c r="N17" i="3"/>
  <c r="I20" i="3"/>
  <c r="K20" i="3" s="1"/>
  <c r="J21" i="3"/>
  <c r="J7" i="3"/>
  <c r="J8" i="3"/>
  <c r="J9" i="3"/>
  <c r="J10" i="3"/>
  <c r="J11" i="3"/>
  <c r="J12" i="3"/>
  <c r="J13" i="3"/>
  <c r="J14" i="3"/>
  <c r="J15" i="3"/>
  <c r="J16" i="3"/>
  <c r="J17" i="3"/>
  <c r="J6" i="3"/>
  <c r="E7" i="3"/>
  <c r="E8" i="3"/>
  <c r="E9" i="3"/>
  <c r="E10" i="3"/>
  <c r="E11" i="3"/>
  <c r="E12" i="3"/>
  <c r="E13" i="3"/>
  <c r="E14" i="3"/>
  <c r="E15" i="3"/>
  <c r="E16" i="3"/>
  <c r="E17" i="3"/>
  <c r="E6" i="3"/>
  <c r="I18" i="1"/>
  <c r="G29" i="1"/>
  <c r="I24" i="1"/>
  <c r="H6" i="1"/>
  <c r="C7" i="1"/>
  <c r="G25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H19" i="1"/>
  <c r="I19" i="1" s="1"/>
  <c r="H20" i="1"/>
  <c r="I20" i="1" s="1"/>
  <c r="H21" i="1"/>
  <c r="I21" i="1" s="1"/>
  <c r="F11" i="1"/>
  <c r="F7" i="3" s="1"/>
  <c r="R7" i="3" s="1"/>
  <c r="S7" i="3" s="1"/>
  <c r="F12" i="1"/>
  <c r="G12" i="1" s="1"/>
  <c r="F13" i="1"/>
  <c r="G13" i="1" s="1"/>
  <c r="F14" i="1"/>
  <c r="G14" i="1" s="1"/>
  <c r="F15" i="1"/>
  <c r="F11" i="3" s="1"/>
  <c r="R11" i="3" s="1"/>
  <c r="S11" i="3" s="1"/>
  <c r="F16" i="1"/>
  <c r="F12" i="3" s="1"/>
  <c r="R12" i="3" s="1"/>
  <c r="S12" i="3" s="1"/>
  <c r="F17" i="1"/>
  <c r="G17" i="1" s="1"/>
  <c r="F18" i="1"/>
  <c r="G18" i="1" s="1"/>
  <c r="F19" i="1"/>
  <c r="F15" i="3" s="1"/>
  <c r="R15" i="3" s="1"/>
  <c r="S15" i="3" s="1"/>
  <c r="F20" i="1"/>
  <c r="F16" i="3" s="1"/>
  <c r="R16" i="3" s="1"/>
  <c r="S16" i="3" s="1"/>
  <c r="F21" i="1"/>
  <c r="G21" i="1" s="1"/>
  <c r="F10" i="1"/>
  <c r="F6" i="3" s="1"/>
  <c r="R6" i="3" s="1"/>
  <c r="S6" i="3" s="1"/>
  <c r="E22" i="1"/>
  <c r="D22" i="1"/>
  <c r="T6" i="3" l="1"/>
  <c r="V6" i="3"/>
  <c r="W6" i="3" s="1"/>
  <c r="K16" i="3"/>
  <c r="L16" i="3" s="1"/>
  <c r="O16" i="3" s="1"/>
  <c r="P16" i="3" s="1"/>
  <c r="T16" i="3"/>
  <c r="K12" i="3"/>
  <c r="L12" i="3" s="1"/>
  <c r="T12" i="3"/>
  <c r="T15" i="3"/>
  <c r="T11" i="3"/>
  <c r="T7" i="3"/>
  <c r="O12" i="3"/>
  <c r="T10" i="3"/>
  <c r="F22" i="1"/>
  <c r="F14" i="3"/>
  <c r="R14" i="3" s="1"/>
  <c r="S14" i="3" s="1"/>
  <c r="T14" i="3" s="1"/>
  <c r="G22" i="1"/>
  <c r="G20" i="1"/>
  <c r="G15" i="3"/>
  <c r="F17" i="3"/>
  <c r="R17" i="3" s="1"/>
  <c r="S17" i="3" s="1"/>
  <c r="T17" i="3" s="1"/>
  <c r="F13" i="3"/>
  <c r="F9" i="3"/>
  <c r="G16" i="1"/>
  <c r="G7" i="3"/>
  <c r="G11" i="1"/>
  <c r="G10" i="1"/>
  <c r="F8" i="3"/>
  <c r="R8" i="3" s="1"/>
  <c r="S8" i="3" s="1"/>
  <c r="T8" i="3" s="1"/>
  <c r="G11" i="3"/>
  <c r="G19" i="1"/>
  <c r="G15" i="1"/>
  <c r="G8" i="3"/>
  <c r="G6" i="3"/>
  <c r="G10" i="3"/>
  <c r="P12" i="3"/>
  <c r="G16" i="3"/>
  <c r="G12" i="3"/>
  <c r="K15" i="3"/>
  <c r="L15" i="3" s="1"/>
  <c r="O15" i="3" s="1"/>
  <c r="K11" i="3"/>
  <c r="L11" i="3" s="1"/>
  <c r="K7" i="3"/>
  <c r="L7" i="3" s="1"/>
  <c r="E18" i="3"/>
  <c r="K8" i="3"/>
  <c r="L8" i="3" s="1"/>
  <c r="O8" i="3" s="1"/>
  <c r="K6" i="3"/>
  <c r="L6" i="3" s="1"/>
  <c r="O6" i="3" s="1"/>
  <c r="K14" i="3"/>
  <c r="L14" i="3" s="1"/>
  <c r="K10" i="3"/>
  <c r="L10" i="3" s="1"/>
  <c r="K17" i="3"/>
  <c r="L17" i="3" s="1"/>
  <c r="O17" i="3" s="1"/>
  <c r="K13" i="3"/>
  <c r="L13" i="3" s="1"/>
  <c r="O13" i="3" s="1"/>
  <c r="K9" i="3"/>
  <c r="L9" i="3" s="1"/>
  <c r="O9" i="3" s="1"/>
  <c r="I22" i="1"/>
  <c r="G17" i="3" l="1"/>
  <c r="G9" i="3"/>
  <c r="R9" i="3"/>
  <c r="S9" i="3" s="1"/>
  <c r="T9" i="3" s="1"/>
  <c r="P11" i="3"/>
  <c r="G14" i="3"/>
  <c r="G13" i="3"/>
  <c r="R13" i="3"/>
  <c r="S13" i="3" s="1"/>
  <c r="T13" i="3" s="1"/>
  <c r="O7" i="3"/>
  <c r="P7" i="3" s="1"/>
  <c r="O14" i="3"/>
  <c r="P14" i="3" s="1"/>
  <c r="O10" i="3"/>
  <c r="P10" i="3" s="1"/>
  <c r="P17" i="3"/>
  <c r="P15" i="3"/>
  <c r="O11" i="3"/>
  <c r="F18" i="3"/>
  <c r="P13" i="3"/>
  <c r="P8" i="3"/>
  <c r="P9" i="3"/>
  <c r="P6" i="3"/>
  <c r="K18" i="3"/>
  <c r="J22" i="1"/>
  <c r="G31" i="1"/>
  <c r="O18" i="3" l="1"/>
  <c r="F34" i="3" s="1"/>
  <c r="G18" i="3"/>
  <c r="P18" i="3"/>
  <c r="Q18" i="3" l="1"/>
</calcChain>
</file>

<file path=xl/comments1.xml><?xml version="1.0" encoding="utf-8"?>
<comments xmlns="http://schemas.openxmlformats.org/spreadsheetml/2006/main">
  <authors>
    <author>Autor</author>
  </authors>
  <commentList>
    <comment ref="U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ENERGIA PARA EL ZINC. CALO LATENTE Y SENSIBLE. ( 0,111j/Kg, 390 j/(kg.k)</t>
        </r>
      </text>
    </comment>
  </commentList>
</comments>
</file>

<file path=xl/sharedStrings.xml><?xml version="1.0" encoding="utf-8"?>
<sst xmlns="http://schemas.openxmlformats.org/spreadsheetml/2006/main" count="295" uniqueCount="192">
  <si>
    <t>DATOS DEL FABRICANTE:</t>
  </si>
  <si>
    <t>MES</t>
  </si>
  <si>
    <t>TOTAL</t>
  </si>
  <si>
    <t>TON GALV</t>
  </si>
  <si>
    <t>KG GALV</t>
  </si>
  <si>
    <t>M3gas/ton</t>
  </si>
  <si>
    <t>Fuente: facturas y planillas de producción.</t>
  </si>
  <si>
    <t>FECHA</t>
  </si>
  <si>
    <t>situacion actual</t>
  </si>
  <si>
    <t>CONSUMO DE GAS (m3)</t>
  </si>
  <si>
    <t>m3 ahorro</t>
  </si>
  <si>
    <t>situacion proyectada</t>
  </si>
  <si>
    <t>horas ( 21m3/h)</t>
  </si>
  <si>
    <t>HORAS caldera</t>
  </si>
  <si>
    <t>sep-18</t>
  </si>
  <si>
    <t>Recuperación: 4,1 %, 8000 kcal/h para 195000 kcal/h</t>
  </si>
  <si>
    <t>Gas: 0,86 m3/h (9300 KCAL/m3 poder calorifico)</t>
  </si>
  <si>
    <t>m3 gas/ton</t>
  </si>
  <si>
    <t>$/m3</t>
  </si>
  <si>
    <t>$/u$S</t>
  </si>
  <si>
    <t>U$S/m3</t>
  </si>
  <si>
    <t>gas</t>
  </si>
  <si>
    <t>ahorro  (U$S/año)</t>
  </si>
  <si>
    <t>Indicador ambiental</t>
  </si>
  <si>
    <t>POTENCIA DEL HORNO(KW)</t>
  </si>
  <si>
    <t>KWH</t>
  </si>
  <si>
    <t>FGALV</t>
  </si>
  <si>
    <t>KWH GALV</t>
  </si>
  <si>
    <t>HORAS/DIA</t>
  </si>
  <si>
    <t>DIAS</t>
  </si>
  <si>
    <t>HORAS/MES</t>
  </si>
  <si>
    <t>SITUACION ACTUAL</t>
  </si>
  <si>
    <t>7 horas/dia 5 dias a la semana</t>
  </si>
  <si>
    <t>Aislacion</t>
  </si>
  <si>
    <t>HORAS REALES A PLENA POTENCIA</t>
  </si>
  <si>
    <t>FRACCION AISLADO/DIA</t>
  </si>
  <si>
    <t>FRACCION AISLADO/MES</t>
  </si>
  <si>
    <t>24 horas/dia (2 dias a la semana)</t>
  </si>
  <si>
    <t>SITUACION NUEVA</t>
  </si>
  <si>
    <t>HORAS  AISLADO MES</t>
  </si>
  <si>
    <t>KWH AHORRO</t>
  </si>
  <si>
    <t>Se determinan las horas reales prendidas relacionando la energia consumida con la potencia ( kwh/kw), FACTOR PLENA POTENCIA</t>
  </si>
  <si>
    <t>FACTOR PLENA POTENCIA</t>
  </si>
  <si>
    <t>Se determinan la horas que va a estar aislado por mes: 7 horas al dia y los fines de semana, HORAS AISLADO</t>
  </si>
  <si>
    <t>KWH TOT</t>
  </si>
  <si>
    <t>ton GALV</t>
  </si>
  <si>
    <t>KWH/TON</t>
  </si>
  <si>
    <t>kwh/ton AHORRO</t>
  </si>
  <si>
    <t>Beneficios economicos</t>
  </si>
  <si>
    <t xml:space="preserve">Se toma como precio de EE </t>
  </si>
  <si>
    <t>$/KWH</t>
  </si>
  <si>
    <t>$/usd</t>
  </si>
  <si>
    <t>USD/kwh</t>
  </si>
  <si>
    <t>usd/año</t>
  </si>
  <si>
    <t>Beneficios ambientales</t>
  </si>
  <si>
    <t>DESPUES</t>
  </si>
  <si>
    <t>Unidad</t>
  </si>
  <si>
    <t>ANTES</t>
  </si>
  <si>
    <t>tep/m3</t>
  </si>
  <si>
    <t>GUIA T+L COMAP</t>
  </si>
  <si>
    <t>TCO2/tep</t>
  </si>
  <si>
    <t>TON CO2/m3</t>
  </si>
  <si>
    <t>ton CO2</t>
  </si>
  <si>
    <t>tep/kwh</t>
  </si>
  <si>
    <t>tco2/tep</t>
  </si>
  <si>
    <t>tco2/kwh</t>
  </si>
  <si>
    <t>TCO2/AÑO</t>
  </si>
  <si>
    <t>Ahorro de energia ( kwh):</t>
  </si>
  <si>
    <t>Se estima un 5 % de perdidas cuando se está a plena potencia (300 kw),</t>
  </si>
  <si>
    <t>ESTIMACION DE PERDIDAS</t>
  </si>
  <si>
    <t>KJ/MES CP CAÑOS</t>
  </si>
  <si>
    <t>KW.H</t>
  </si>
  <si>
    <t>Se calculan la energia ahorrada como: HORAS AISLADOXPOTENCIAXFACTOR PLENA POTENCIAX0,05</t>
  </si>
  <si>
    <t>T CO2</t>
  </si>
  <si>
    <t>TCO2</t>
  </si>
  <si>
    <t>REDUCCION</t>
  </si>
  <si>
    <t>TON CO2/AÑO</t>
  </si>
  <si>
    <t>tep/l</t>
  </si>
  <si>
    <t>kWh</t>
  </si>
  <si>
    <t>GUIA T+L COMAP F 5 CONTROL DE T+L</t>
  </si>
  <si>
    <t>PCI</t>
  </si>
  <si>
    <t>Fuente de la energía</t>
  </si>
  <si>
    <t>Unidad física</t>
  </si>
  <si>
    <t>Valor</t>
  </si>
  <si>
    <t>FE CO2 (tCO2/tep)</t>
  </si>
  <si>
    <t>1tep = 10:000.000 Kcal</t>
  </si>
  <si>
    <t>LISTADO 1</t>
  </si>
  <si>
    <t>LISTADO 2</t>
  </si>
  <si>
    <t>LINEA BASE</t>
  </si>
  <si>
    <t>Seleccione</t>
  </si>
  <si>
    <t>Seleccione de Listado 1</t>
  </si>
  <si>
    <t>Seleccione de Listado 2</t>
  </si>
  <si>
    <t>Aserrín</t>
  </si>
  <si>
    <t>t</t>
  </si>
  <si>
    <t>tep/t</t>
  </si>
  <si>
    <t>Kcal/kg</t>
  </si>
  <si>
    <t>Reservorios de agua para uso agropecuario que puedan subsanar períodos de déficit hídrico (tanques australianos, pozos, represas, tajamares).</t>
  </si>
  <si>
    <t>Eficiencia Energética (incluido eficiencias en flotas)</t>
  </si>
  <si>
    <t>Norma</t>
  </si>
  <si>
    <t>Bagazo</t>
  </si>
  <si>
    <t>Sistema de conducción agua para uso agropecuario.</t>
  </si>
  <si>
    <t>Agua: Ahorro y reciclaje interno de agua (incluyendo aprovechamiento de pluviales).</t>
  </si>
  <si>
    <t>BAU</t>
  </si>
  <si>
    <t>Biodiesel</t>
  </si>
  <si>
    <t>l</t>
  </si>
  <si>
    <t>Kcal/l</t>
  </si>
  <si>
    <t>Sistema de riego para uso agropecuario.</t>
  </si>
  <si>
    <t>Residuos: Reducción en la generación, reciclaje, reuso y valorización.</t>
  </si>
  <si>
    <t>Otra</t>
  </si>
  <si>
    <t>Bioetanol</t>
  </si>
  <si>
    <t>Sistema de suministro de agua para animales.</t>
  </si>
  <si>
    <t>Efluentes: Reducción en la generación, reciclaje, reuso y valorización.</t>
  </si>
  <si>
    <t>Carbón mineral</t>
  </si>
  <si>
    <t>Vehículos eléctricos con batería de densidad de energía gravimétrica mayor o igual a 100 Wh/kg.</t>
  </si>
  <si>
    <t>Insumos: Ahorro</t>
  </si>
  <si>
    <t>Carbón vegetal</t>
  </si>
  <si>
    <t>Sist. alimentación Vehículos Eléctricos (SAVE).</t>
  </si>
  <si>
    <t>Materia Prima: Ahorro</t>
  </si>
  <si>
    <t>Cáscara de arroz</t>
  </si>
  <si>
    <t>Equipos de acondicionamiento de aire y bombas de calor con tecnología Inverter o clase A o superior de acuerdo al Sistema Nacional de Etiquetado de Eficiencia Energética.</t>
  </si>
  <si>
    <t>Eliminar o reducir la exposición a factores ambientales peligrosos en el lugar de trabajo (exceptuando lo establecido por normativa).</t>
  </si>
  <si>
    <t>Cáscara de girasol</t>
  </si>
  <si>
    <t>Bomba de calor con acumulación agua.</t>
  </si>
  <si>
    <t>Rediseño de productos que permiten prolongar la vida útil o viabilizar la reinserción en el propio proceso productivo o como materia prima de otros procesos (Economía circular)</t>
  </si>
  <si>
    <t>Casullo de cebada</t>
  </si>
  <si>
    <t>Luminarias LED exclusivamente para iluminación exterior, de potencia mayor o igual a 25 W y eficacia lumínica mayor o igual a 100 lm/W.</t>
  </si>
  <si>
    <t>Reparación, remanufactura, reuso, reciclaje u otro tipo de valorización de productos postconsumo.</t>
  </si>
  <si>
    <t>Chips</t>
  </si>
  <si>
    <t>Estufas a biomasa (leña, pellets, briquetas, otros) de hogar cerrado o de doble combustión.</t>
  </si>
  <si>
    <t>Coque de carbón</t>
  </si>
  <si>
    <t>Aislamiento térmico en techos (transmitancia térmica máxima U = 0,50 W/m2K).</t>
  </si>
  <si>
    <t>Coque de petróleo</t>
  </si>
  <si>
    <t>Doble vidrio hermético, con marcos de transferencia térmica menor a 4W/m2K.</t>
  </si>
  <si>
    <t>Coque de petróleo importado</t>
  </si>
  <si>
    <t>Protecciones solares exteriores en fachadas oeste y norte con factor solar menor a 0.3.</t>
  </si>
  <si>
    <t>Electricidad de la red</t>
  </si>
  <si>
    <t>tep/kWh</t>
  </si>
  <si>
    <t>Kcal/Kwh</t>
  </si>
  <si>
    <t>Motor IEE3 o superior.</t>
  </si>
  <si>
    <t>Fuel oil calefacción</t>
  </si>
  <si>
    <t>Sistemas de cogeneración de energía (Turbina de vapor, Turbina de gas, Motores de combustión interna, Micro turbinas, etc).</t>
  </si>
  <si>
    <t>Fuel oil intermedio</t>
  </si>
  <si>
    <t>Equipos de generación de energía térmica que no utilicen combustibles fósiles.</t>
  </si>
  <si>
    <t>Fuel oil pesado</t>
  </si>
  <si>
    <t>Equipos de generación / aprovechamiento de energía de fuentes renovables: geotermia, undimotriz, pequeñas centrales hidroeléctricas, solar de concentración.</t>
  </si>
  <si>
    <t>Gas natural</t>
  </si>
  <si>
    <t>m3</t>
  </si>
  <si>
    <r>
      <t>tep/m</t>
    </r>
    <r>
      <rPr>
        <vertAlign val="superscript"/>
        <sz val="10"/>
        <rFont val="Calibri"/>
        <family val="2"/>
        <scheme val="minor"/>
      </rPr>
      <t>3</t>
    </r>
  </si>
  <si>
    <t>Kcal/m3</t>
  </si>
  <si>
    <t>Sistemas de energía solar térmica, eólica, solar fotovoltaica y residuos.</t>
  </si>
  <si>
    <t>Gasoil 10S</t>
  </si>
  <si>
    <t>Equipamiento y componentes para compostaje y digestión anaerobia de subproductos orgánicos.</t>
  </si>
  <si>
    <t>Gasoil 50S</t>
  </si>
  <si>
    <t>Sistema purificación de biogas.</t>
  </si>
  <si>
    <t>Gasolina aviación 100/130</t>
  </si>
  <si>
    <t>Sistema de baterías para generación de energía eléctrica, que aplican a lo descrito  en el Decreto 025/020.Baterías nuevas y con densidad de energía gravimétrica mayor o igual a 100 Wh/kg.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</si>
  <si>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</si>
  <si>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</si>
  <si>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</si>
  <si>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</si>
  <si>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</si>
  <si>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</si>
  <si>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</si>
  <si>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</si>
  <si>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</si>
  <si>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Supergas</t>
  </si>
  <si>
    <t xml:space="preserve">FUENTE: formulario F 5 Seguimiento T+L </t>
  </si>
  <si>
    <t>tep: tonelada equivalente de PETROLEO</t>
  </si>
  <si>
    <r>
      <t xml:space="preserve">HALLAR </t>
    </r>
    <r>
      <rPr>
        <b/>
        <i/>
        <sz val="11"/>
        <color theme="1"/>
        <rFont val="Calibri"/>
        <family val="2"/>
        <scheme val="minor"/>
      </rPr>
      <t xml:space="preserve">t CO 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/ tep</t>
    </r>
  </si>
  <si>
    <r>
      <t xml:space="preserve">HALLAR LA RELACION  </t>
    </r>
    <r>
      <rPr>
        <b/>
        <i/>
        <sz val="11"/>
        <color theme="1"/>
        <rFont val="Calibri"/>
        <family val="2"/>
        <scheme val="minor"/>
      </rPr>
      <t>tep/FUENTE DE ENERGIA ( TONELADAS/KWH/M3)</t>
    </r>
  </si>
  <si>
    <r>
      <t>HALLAR</t>
    </r>
    <r>
      <rPr>
        <b/>
        <i/>
        <sz val="11"/>
        <color theme="1"/>
        <rFont val="Calibri"/>
        <family val="2"/>
        <scheme val="minor"/>
      </rPr>
      <t xml:space="preserve"> t CO 2 / FUENTE ENERGIA</t>
    </r>
  </si>
  <si>
    <t>(t CO 2 / tep) x  (tep/FUENTE DE ENERGIA ( TONELADAS/KWH/M3))</t>
  </si>
  <si>
    <t>"LISTADO"</t>
  </si>
  <si>
    <t>FUENTE</t>
  </si>
  <si>
    <t>IDENTIFICAR FUENTE DE ENERGIA EN "LISTADO"</t>
  </si>
  <si>
    <t>EJEMPLO</t>
  </si>
  <si>
    <t>Consumo de GAS NATURAL</t>
  </si>
  <si>
    <t>m3 GAS /año</t>
  </si>
  <si>
    <t xml:space="preserve"> FE CO2 (t CO 2 / tep)</t>
  </si>
  <si>
    <r>
      <t>t CO</t>
    </r>
    <r>
      <rPr>
        <vertAlign val="subscript"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/m3</t>
    </r>
  </si>
  <si>
    <r>
      <t>t CO</t>
    </r>
    <r>
      <rPr>
        <vertAlign val="subscript"/>
        <sz val="11"/>
        <color theme="1"/>
        <rFont val="Calibri"/>
        <family val="2"/>
        <scheme val="minor"/>
      </rPr>
      <t xml:space="preserve"> 2 </t>
    </r>
    <r>
      <rPr>
        <sz val="11"/>
        <color theme="1"/>
        <rFont val="Calibri"/>
        <family val="2"/>
        <scheme val="minor"/>
      </rPr>
      <t>/año</t>
    </r>
  </si>
  <si>
    <t>SITUACION ANTES: quemador a GAS NATURAL</t>
  </si>
  <si>
    <t>Datos de produccion</t>
  </si>
  <si>
    <t>DATOS COMAP</t>
  </si>
  <si>
    <t>Consumo de PELLET</t>
  </si>
  <si>
    <r>
      <t>t CO</t>
    </r>
    <r>
      <rPr>
        <vertAlign val="subscript"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/ t</t>
    </r>
  </si>
  <si>
    <t>tep/ t</t>
  </si>
  <si>
    <t>t  PELLET /año</t>
  </si>
  <si>
    <t xml:space="preserve"> t CO2/año</t>
  </si>
  <si>
    <t xml:space="preserve">REDUCCION DE EMISIONES  </t>
  </si>
  <si>
    <t>CASO: INSTALACION DE CALDERA CON RECUPERACION</t>
  </si>
  <si>
    <t>PASOS PARA CALCULO t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</si>
</sst>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0.000"/>
    <numFmt numFmtId="167" formatCode="_-* #,##0.00\ _€_-;\-* #,##0.00\ _€_-;_-* &quot;-&quot;??\ _€_-;_-@_-"/>
    <numFmt numFmtId="168" formatCode="_-* #,##0_-;\-* #,##0_-;_-* &quot;-&quot;??_-;_-@_-"/>
    <numFmt numFmtId="174" formatCode="General_)"/>
    <numFmt numFmtId="175" formatCode="0.0_)"/>
    <numFmt numFmtId="176" formatCode="_-* #,##0.000_-;\-* #,##0.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3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Symbol"/>
      <family val="1"/>
      <charset val="2"/>
    </font>
    <font>
      <u/>
      <sz val="10"/>
      <color indexed="12"/>
      <name val="Arial"/>
      <family val="2"/>
    </font>
    <font>
      <vertAlign val="superscript"/>
      <sz val="10"/>
      <name val="Calibri"/>
      <family val="2"/>
      <scheme val="minor"/>
    </font>
    <font>
      <vertAlign val="superscript"/>
      <sz val="10"/>
      <name val="Calibri"/>
      <family val="2"/>
    </font>
    <font>
      <sz val="11"/>
      <name val="Courier New"/>
      <family val="3"/>
    </font>
    <font>
      <sz val="10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4" fontId="7" fillId="0" borderId="0"/>
    <xf numFmtId="43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10" fontId="0" fillId="0" borderId="0" xfId="0" applyNumberFormat="1"/>
    <xf numFmtId="164" fontId="3" fillId="2" borderId="0" xfId="0" applyNumberFormat="1" applyFont="1" applyFill="1" applyAlignment="1">
      <alignment horizontal="center"/>
    </xf>
    <xf numFmtId="164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/>
    <xf numFmtId="9" fontId="0" fillId="0" borderId="0" xfId="0" applyNumberFormat="1"/>
    <xf numFmtId="0" fontId="0" fillId="4" borderId="0" xfId="0" applyFill="1"/>
    <xf numFmtId="1" fontId="0" fillId="4" borderId="0" xfId="0" applyNumberForma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4" borderId="0" xfId="0" applyFont="1" applyFill="1"/>
    <xf numFmtId="0" fontId="0" fillId="2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43" fontId="0" fillId="0" borderId="0" xfId="1" applyFont="1"/>
    <xf numFmtId="9" fontId="0" fillId="0" borderId="0" xfId="2" applyFont="1"/>
    <xf numFmtId="167" fontId="0" fillId="0" borderId="0" xfId="0" applyNumberFormat="1"/>
    <xf numFmtId="168" fontId="0" fillId="4" borderId="0" xfId="1" applyNumberFormat="1" applyFont="1" applyFill="1" applyAlignment="1">
      <alignment horizontal="center"/>
    </xf>
    <xf numFmtId="168" fontId="0" fillId="0" borderId="0" xfId="1" applyNumberFormat="1" applyFont="1"/>
    <xf numFmtId="168" fontId="2" fillId="0" borderId="0" xfId="1" applyNumberFormat="1" applyFont="1"/>
    <xf numFmtId="168" fontId="0" fillId="3" borderId="0" xfId="1" applyNumberFormat="1" applyFont="1" applyFill="1"/>
    <xf numFmtId="0" fontId="2" fillId="3" borderId="0" xfId="0" applyFont="1" applyFill="1"/>
    <xf numFmtId="168" fontId="2" fillId="2" borderId="0" xfId="1" applyNumberFormat="1" applyFont="1" applyFill="1" applyAlignment="1">
      <alignment horizontal="center"/>
    </xf>
    <xf numFmtId="174" fontId="8" fillId="0" borderId="9" xfId="3" applyFont="1" applyFill="1" applyBorder="1" applyAlignment="1">
      <alignment horizontal="center" vertical="center"/>
    </xf>
    <xf numFmtId="0" fontId="0" fillId="6" borderId="0" xfId="0" applyFill="1" applyProtection="1"/>
    <xf numFmtId="174" fontId="9" fillId="0" borderId="4" xfId="3" applyFont="1" applyFill="1" applyBorder="1" applyAlignment="1" applyProtection="1">
      <alignment horizontal="center" vertical="center" wrapText="1"/>
    </xf>
    <xf numFmtId="174" fontId="9" fillId="0" borderId="4" xfId="3" applyFont="1" applyFill="1" applyBorder="1" applyAlignment="1">
      <alignment horizontal="center" vertical="center" wrapText="1"/>
    </xf>
    <xf numFmtId="174" fontId="9" fillId="0" borderId="10" xfId="3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0" fillId="8" borderId="11" xfId="0" applyFill="1" applyBorder="1" applyProtection="1"/>
    <xf numFmtId="0" fontId="12" fillId="0" borderId="4" xfId="0" applyFont="1" applyBorder="1"/>
    <xf numFmtId="0" fontId="12" fillId="0" borderId="12" xfId="0" applyFont="1" applyBorder="1"/>
    <xf numFmtId="175" fontId="13" fillId="0" borderId="4" xfId="3" applyNumberFormat="1" applyFont="1" applyFill="1" applyBorder="1" applyAlignment="1">
      <alignment vertical="center"/>
    </xf>
    <xf numFmtId="174" fontId="13" fillId="0" borderId="4" xfId="3" applyFont="1" applyFill="1" applyBorder="1" applyAlignment="1">
      <alignment horizontal="center" vertical="center"/>
    </xf>
    <xf numFmtId="175" fontId="13" fillId="0" borderId="4" xfId="3" applyNumberFormat="1" applyFont="1" applyFill="1" applyBorder="1" applyAlignment="1">
      <alignment horizontal="center" vertical="center"/>
    </xf>
    <xf numFmtId="176" fontId="13" fillId="0" borderId="4" xfId="4" applyNumberFormat="1" applyFont="1" applyFill="1" applyBorder="1" applyAlignment="1">
      <alignment horizontal="center" vertical="center"/>
    </xf>
    <xf numFmtId="11" fontId="13" fillId="0" borderId="4" xfId="4" applyNumberFormat="1" applyFont="1" applyFill="1" applyBorder="1" applyAlignment="1">
      <alignment vertical="center"/>
    </xf>
    <xf numFmtId="0" fontId="13" fillId="0" borderId="4" xfId="0" applyFont="1" applyBorder="1"/>
    <xf numFmtId="3" fontId="13" fillId="0" borderId="4" xfId="0" applyNumberFormat="1" applyFont="1" applyBorder="1"/>
    <xf numFmtId="0" fontId="12" fillId="0" borderId="4" xfId="0" applyFont="1" applyBorder="1" applyAlignment="1">
      <alignment horizontal="justify" vertical="center"/>
    </xf>
    <xf numFmtId="174" fontId="13" fillId="0" borderId="4" xfId="3" applyFont="1" applyFill="1" applyBorder="1" applyAlignment="1" applyProtection="1">
      <alignment horizontal="left" vertical="center"/>
    </xf>
    <xf numFmtId="174" fontId="13" fillId="0" borderId="4" xfId="3" applyFont="1" applyFill="1" applyBorder="1" applyAlignment="1" applyProtection="1">
      <alignment horizontal="center" vertical="center"/>
    </xf>
    <xf numFmtId="0" fontId="12" fillId="0" borderId="4" xfId="0" applyFont="1" applyBorder="1" applyAlignment="1">
      <alignment wrapText="1"/>
    </xf>
    <xf numFmtId="0" fontId="13" fillId="0" borderId="4" xfId="0" applyFont="1" applyFill="1" applyBorder="1"/>
    <xf numFmtId="0" fontId="12" fillId="0" borderId="13" xfId="0" applyFont="1" applyBorder="1"/>
    <xf numFmtId="0" fontId="12" fillId="0" borderId="4" xfId="0" applyFont="1" applyFill="1" applyBorder="1"/>
    <xf numFmtId="0" fontId="14" fillId="0" borderId="0" xfId="0" applyFont="1" applyAlignment="1">
      <alignment horizontal="justify" vertical="center"/>
    </xf>
    <xf numFmtId="0" fontId="15" fillId="0" borderId="0" xfId="5" applyAlignment="1" applyProtection="1">
      <alignment horizontal="justify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5" fillId="0" borderId="0" xfId="5" applyAlignment="1" applyProtection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/>
    <xf numFmtId="0" fontId="2" fillId="10" borderId="0" xfId="0" applyFont="1" applyFill="1" applyAlignment="1">
      <alignment horizontal="left"/>
    </xf>
    <xf numFmtId="0" fontId="0" fillId="10" borderId="0" xfId="0" applyFill="1"/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1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0" fontId="2" fillId="5" borderId="0" xfId="0" applyFont="1" applyFill="1" applyAlignment="1">
      <alignment horizontal="left"/>
    </xf>
  </cellXfs>
  <cellStyles count="6">
    <cellStyle name="Hipervínculo" xfId="5" builtinId="8"/>
    <cellStyle name="Millares" xfId="1" builtinId="3"/>
    <cellStyle name="Millares 2" xfId="4"/>
    <cellStyle name="Normal" xfId="0" builtinId="0"/>
    <cellStyle name="Normal 2 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workbookViewId="0">
      <selection activeCell="D15" sqref="D15"/>
    </sheetView>
  </sheetViews>
  <sheetFormatPr baseColWidth="10" defaultRowHeight="14.4" x14ac:dyDescent="0.3"/>
  <cols>
    <col min="2" max="2" width="20.6640625" style="2" customWidth="1"/>
    <col min="3" max="3" width="61.88671875" customWidth="1"/>
    <col min="4" max="4" width="56" customWidth="1"/>
  </cols>
  <sheetData>
    <row r="2" spans="2:4" x14ac:dyDescent="0.3">
      <c r="B2" s="94" t="s">
        <v>191</v>
      </c>
      <c r="C2" s="35"/>
      <c r="D2" s="35"/>
    </row>
    <row r="3" spans="2:4" x14ac:dyDescent="0.3">
      <c r="D3" s="20" t="s">
        <v>173</v>
      </c>
    </row>
    <row r="4" spans="2:4" ht="24" customHeight="1" x14ac:dyDescent="0.3">
      <c r="B4" s="2">
        <v>1</v>
      </c>
      <c r="C4" t="s">
        <v>174</v>
      </c>
      <c r="D4" t="s">
        <v>172</v>
      </c>
    </row>
    <row r="5" spans="2:4" ht="24" customHeight="1" x14ac:dyDescent="0.3">
      <c r="B5" s="2">
        <v>2</v>
      </c>
      <c r="C5" t="s">
        <v>169</v>
      </c>
      <c r="D5" t="s">
        <v>172</v>
      </c>
    </row>
    <row r="6" spans="2:4" ht="24" customHeight="1" x14ac:dyDescent="0.3">
      <c r="C6" t="s">
        <v>167</v>
      </c>
    </row>
    <row r="7" spans="2:4" ht="24" customHeight="1" x14ac:dyDescent="0.35">
      <c r="B7" s="2">
        <v>3</v>
      </c>
      <c r="C7" t="s">
        <v>168</v>
      </c>
      <c r="D7" t="s">
        <v>172</v>
      </c>
    </row>
    <row r="8" spans="2:4" x14ac:dyDescent="0.3">
      <c r="B8" s="2">
        <v>4</v>
      </c>
      <c r="C8" t="s">
        <v>170</v>
      </c>
      <c r="D8" t="s">
        <v>171</v>
      </c>
    </row>
    <row r="11" spans="2:4" s="80" customFormat="1" x14ac:dyDescent="0.3">
      <c r="B11" s="79" t="s">
        <v>175</v>
      </c>
    </row>
    <row r="13" spans="2:4" x14ac:dyDescent="0.3">
      <c r="B13" s="81" t="s">
        <v>181</v>
      </c>
      <c r="C13" s="82"/>
    </row>
    <row r="14" spans="2:4" ht="15" thickBot="1" x14ac:dyDescent="0.35">
      <c r="B14" s="78" t="s">
        <v>176</v>
      </c>
    </row>
    <row r="15" spans="2:4" x14ac:dyDescent="0.3">
      <c r="B15" s="85" t="s">
        <v>177</v>
      </c>
      <c r="C15" s="86">
        <f>30*20*25*12</f>
        <v>180000</v>
      </c>
      <c r="D15" t="s">
        <v>182</v>
      </c>
    </row>
    <row r="16" spans="2:4" x14ac:dyDescent="0.3">
      <c r="B16" s="87" t="s">
        <v>58</v>
      </c>
      <c r="C16" s="88">
        <f>'LISTADO '!K21</f>
        <v>8.3000000000000001E-4</v>
      </c>
      <c r="D16" t="s">
        <v>183</v>
      </c>
    </row>
    <row r="17" spans="2:4" x14ac:dyDescent="0.3">
      <c r="B17" s="87" t="s">
        <v>178</v>
      </c>
      <c r="C17" s="89">
        <f>'LISTADO '!L21</f>
        <v>2.3492435999999999</v>
      </c>
      <c r="D17" t="s">
        <v>183</v>
      </c>
    </row>
    <row r="18" spans="2:4" ht="16.2" thickBot="1" x14ac:dyDescent="0.4">
      <c r="B18" s="87" t="s">
        <v>179</v>
      </c>
      <c r="C18" s="88">
        <f>+C17*C16</f>
        <v>1.949872188E-3</v>
      </c>
      <c r="D18" t="s">
        <v>183</v>
      </c>
    </row>
    <row r="19" spans="2:4" ht="16.2" thickBot="1" x14ac:dyDescent="0.4">
      <c r="B19" s="83" t="s">
        <v>180</v>
      </c>
      <c r="C19" s="84">
        <f>+C15*C18</f>
        <v>350.97699383999998</v>
      </c>
    </row>
    <row r="21" spans="2:4" x14ac:dyDescent="0.3">
      <c r="B21" s="81" t="s">
        <v>181</v>
      </c>
      <c r="C21" s="82"/>
    </row>
    <row r="22" spans="2:4" ht="15" thickBot="1" x14ac:dyDescent="0.35">
      <c r="B22" s="78" t="s">
        <v>184</v>
      </c>
    </row>
    <row r="23" spans="2:4" x14ac:dyDescent="0.3">
      <c r="B23" s="85" t="s">
        <v>187</v>
      </c>
      <c r="C23" s="86">
        <v>360000</v>
      </c>
      <c r="D23" t="s">
        <v>182</v>
      </c>
    </row>
    <row r="24" spans="2:4" x14ac:dyDescent="0.3">
      <c r="B24" s="87" t="s">
        <v>186</v>
      </c>
      <c r="C24" s="90">
        <f>'LISTADO '!K30</f>
        <v>0.46968509999999997</v>
      </c>
      <c r="D24" t="s">
        <v>183</v>
      </c>
    </row>
    <row r="25" spans="2:4" x14ac:dyDescent="0.3">
      <c r="B25" s="87" t="s">
        <v>178</v>
      </c>
      <c r="C25" s="89">
        <f>'LISTADO '!L30</f>
        <v>0</v>
      </c>
      <c r="D25" t="s">
        <v>183</v>
      </c>
    </row>
    <row r="26" spans="2:4" ht="16.2" thickBot="1" x14ac:dyDescent="0.4">
      <c r="B26" s="87" t="s">
        <v>185</v>
      </c>
      <c r="C26" s="90">
        <f>+C25*C24</f>
        <v>0</v>
      </c>
      <c r="D26" t="s">
        <v>183</v>
      </c>
    </row>
    <row r="27" spans="2:4" ht="16.2" thickBot="1" x14ac:dyDescent="0.4">
      <c r="B27" s="83" t="s">
        <v>180</v>
      </c>
      <c r="C27" s="91">
        <f>+C23*C26</f>
        <v>0</v>
      </c>
    </row>
    <row r="29" spans="2:4" ht="15" thickBot="1" x14ac:dyDescent="0.35">
      <c r="B29" s="77" t="s">
        <v>189</v>
      </c>
    </row>
    <row r="30" spans="2:4" ht="15" thickBot="1" x14ac:dyDescent="0.35">
      <c r="B30" s="92" t="s">
        <v>188</v>
      </c>
      <c r="C30" s="93">
        <f>+C19-C27</f>
        <v>350.97699383999998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topLeftCell="C19" workbookViewId="0">
      <selection activeCell="O30" sqref="O30"/>
    </sheetView>
  </sheetViews>
  <sheetFormatPr baseColWidth="10" defaultRowHeight="14.4" x14ac:dyDescent="0.3"/>
  <cols>
    <col min="2" max="2" width="35.33203125" customWidth="1"/>
    <col min="3" max="3" width="1.5546875" customWidth="1"/>
    <col min="4" max="4" width="44.44140625" bestFit="1" customWidth="1"/>
    <col min="5" max="5" width="1.6640625" customWidth="1"/>
    <col min="6" max="6" width="13.88671875" customWidth="1"/>
    <col min="7" max="7" width="1.33203125" customWidth="1"/>
    <col min="8" max="8" width="24.109375" bestFit="1" customWidth="1"/>
    <col min="9" max="9" width="10.5546875" bestFit="1" customWidth="1"/>
    <col min="17" max="17" width="20.109375" customWidth="1"/>
  </cols>
  <sheetData>
    <row r="1" spans="2:17" ht="15.75" customHeight="1" x14ac:dyDescent="0.3">
      <c r="B1" t="s">
        <v>166</v>
      </c>
      <c r="J1" s="46" t="s">
        <v>80</v>
      </c>
      <c r="K1" s="46"/>
      <c r="L1" s="47"/>
    </row>
    <row r="2" spans="2:17" ht="22.5" customHeight="1" x14ac:dyDescent="0.3">
      <c r="H2" s="48" t="s">
        <v>81</v>
      </c>
      <c r="I2" s="49" t="s">
        <v>82</v>
      </c>
      <c r="J2" s="48" t="s">
        <v>56</v>
      </c>
      <c r="K2" s="49" t="s">
        <v>83</v>
      </c>
      <c r="L2" s="49" t="s">
        <v>84</v>
      </c>
      <c r="N2" s="48" t="s">
        <v>56</v>
      </c>
      <c r="O2" s="49" t="s">
        <v>83</v>
      </c>
      <c r="Q2" s="50" t="s">
        <v>85</v>
      </c>
    </row>
    <row r="3" spans="2:17" ht="15.75" customHeight="1" x14ac:dyDescent="0.3">
      <c r="B3" s="51" t="s">
        <v>86</v>
      </c>
      <c r="C3" s="51"/>
      <c r="D3" s="51" t="s">
        <v>87</v>
      </c>
      <c r="F3" s="51" t="s">
        <v>88</v>
      </c>
      <c r="H3" s="52" t="s">
        <v>89</v>
      </c>
      <c r="I3" s="53"/>
      <c r="J3" s="53"/>
      <c r="K3" s="53"/>
      <c r="L3" s="54"/>
    </row>
    <row r="4" spans="2:17" ht="15.75" customHeight="1" x14ac:dyDescent="0.3">
      <c r="B4" s="55" t="s">
        <v>90</v>
      </c>
      <c r="C4" s="56"/>
      <c r="D4" s="55" t="s">
        <v>91</v>
      </c>
      <c r="F4" s="56" t="s">
        <v>89</v>
      </c>
      <c r="H4" s="57" t="s">
        <v>92</v>
      </c>
      <c r="I4" s="58" t="s">
        <v>93</v>
      </c>
      <c r="J4" s="59" t="s">
        <v>94</v>
      </c>
      <c r="K4" s="60">
        <v>0.2346226974</v>
      </c>
      <c r="L4" s="61">
        <v>0</v>
      </c>
      <c r="N4" s="62" t="s">
        <v>95</v>
      </c>
      <c r="O4" s="63">
        <f>+K4*10000000/1000</f>
        <v>2346.2269740000002</v>
      </c>
    </row>
    <row r="5" spans="2:17" ht="66" customHeight="1" x14ac:dyDescent="0.3">
      <c r="B5" s="64" t="s">
        <v>96</v>
      </c>
      <c r="C5" s="56"/>
      <c r="D5" s="55" t="s">
        <v>97</v>
      </c>
      <c r="F5" s="56" t="s">
        <v>98</v>
      </c>
      <c r="H5" s="65" t="s">
        <v>99</v>
      </c>
      <c r="I5" s="58" t="s">
        <v>93</v>
      </c>
      <c r="J5" s="66" t="s">
        <v>94</v>
      </c>
      <c r="K5" s="60">
        <v>0.23499999999999999</v>
      </c>
      <c r="L5" s="61">
        <v>0</v>
      </c>
      <c r="N5" s="62" t="s">
        <v>95</v>
      </c>
      <c r="O5" s="63">
        <f>+K5*10000000/1000</f>
        <v>2350</v>
      </c>
    </row>
    <row r="6" spans="2:17" ht="24.75" customHeight="1" x14ac:dyDescent="0.3">
      <c r="B6" s="67" t="s">
        <v>100</v>
      </c>
      <c r="C6" s="56"/>
      <c r="D6" s="67" t="s">
        <v>101</v>
      </c>
      <c r="F6" s="56" t="s">
        <v>102</v>
      </c>
      <c r="H6" s="57" t="s">
        <v>103</v>
      </c>
      <c r="I6" s="58" t="s">
        <v>104</v>
      </c>
      <c r="J6" s="66" t="s">
        <v>77</v>
      </c>
      <c r="K6" s="60">
        <f>0.8312/1000</f>
        <v>8.3120000000000004E-4</v>
      </c>
      <c r="L6" s="61">
        <v>0</v>
      </c>
      <c r="N6" s="68" t="s">
        <v>105</v>
      </c>
      <c r="O6" s="63">
        <f>+K6*10000000</f>
        <v>8312</v>
      </c>
    </row>
    <row r="7" spans="2:17" ht="28.5" customHeight="1" x14ac:dyDescent="0.3">
      <c r="B7" s="55" t="s">
        <v>106</v>
      </c>
      <c r="C7" s="56"/>
      <c r="D7" s="67" t="s">
        <v>107</v>
      </c>
      <c r="F7" s="69" t="s">
        <v>108</v>
      </c>
      <c r="H7" s="65" t="s">
        <v>109</v>
      </c>
      <c r="I7" s="58" t="s">
        <v>104</v>
      </c>
      <c r="J7" s="66" t="s">
        <v>77</v>
      </c>
      <c r="K7" s="60">
        <f>0.5066/1000</f>
        <v>5.0660000000000006E-4</v>
      </c>
      <c r="L7" s="61">
        <v>0</v>
      </c>
      <c r="N7" s="68" t="s">
        <v>105</v>
      </c>
      <c r="O7" s="63">
        <f>+K7*10000000</f>
        <v>5066.0000000000009</v>
      </c>
    </row>
    <row r="8" spans="2:17" ht="30.75" customHeight="1" x14ac:dyDescent="0.3">
      <c r="B8" s="67" t="s">
        <v>110</v>
      </c>
      <c r="C8" s="56"/>
      <c r="D8" s="67" t="s">
        <v>111</v>
      </c>
      <c r="H8" s="65" t="s">
        <v>112</v>
      </c>
      <c r="I8" s="58" t="s">
        <v>93</v>
      </c>
      <c r="J8" s="66" t="s">
        <v>94</v>
      </c>
      <c r="K8" s="60">
        <v>0.7</v>
      </c>
      <c r="L8" s="61">
        <v>4.4807319999999997</v>
      </c>
      <c r="N8" s="62" t="s">
        <v>95</v>
      </c>
      <c r="O8" s="63">
        <f t="shared" ref="O8:O16" si="0">+K8*10000000/1000</f>
        <v>7000</v>
      </c>
    </row>
    <row r="9" spans="2:17" ht="41.25" customHeight="1" x14ac:dyDescent="0.3">
      <c r="B9" s="67" t="s">
        <v>113</v>
      </c>
      <c r="C9" s="56"/>
      <c r="D9" s="55" t="s">
        <v>114</v>
      </c>
      <c r="H9" s="65" t="s">
        <v>115</v>
      </c>
      <c r="I9" s="58" t="s">
        <v>93</v>
      </c>
      <c r="J9" s="59" t="s">
        <v>94</v>
      </c>
      <c r="K9" s="60">
        <v>0.75</v>
      </c>
      <c r="L9" s="61">
        <v>0</v>
      </c>
      <c r="N9" s="62" t="s">
        <v>95</v>
      </c>
      <c r="O9" s="63">
        <f t="shared" si="0"/>
        <v>7500</v>
      </c>
    </row>
    <row r="10" spans="2:17" ht="26.25" customHeight="1" x14ac:dyDescent="0.3">
      <c r="B10" s="67" t="s">
        <v>116</v>
      </c>
      <c r="C10" s="56"/>
      <c r="D10" s="70" t="s">
        <v>117</v>
      </c>
      <c r="H10" s="65" t="s">
        <v>118</v>
      </c>
      <c r="I10" s="58" t="s">
        <v>93</v>
      </c>
      <c r="J10" s="66" t="s">
        <v>94</v>
      </c>
      <c r="K10" s="60">
        <v>0.27</v>
      </c>
      <c r="L10" s="61">
        <v>0</v>
      </c>
      <c r="N10" s="62" t="s">
        <v>95</v>
      </c>
      <c r="O10" s="63">
        <f t="shared" si="0"/>
        <v>2700</v>
      </c>
    </row>
    <row r="11" spans="2:17" ht="65.25" customHeight="1" x14ac:dyDescent="0.3">
      <c r="B11" s="67" t="s">
        <v>119</v>
      </c>
      <c r="C11" s="56"/>
      <c r="D11" s="67" t="s">
        <v>120</v>
      </c>
      <c r="H11" s="65" t="s">
        <v>121</v>
      </c>
      <c r="I11" s="58" t="s">
        <v>93</v>
      </c>
      <c r="J11" s="59" t="s">
        <v>94</v>
      </c>
      <c r="K11" s="60">
        <v>0.38</v>
      </c>
      <c r="L11" s="61">
        <v>0</v>
      </c>
      <c r="N11" s="62" t="s">
        <v>95</v>
      </c>
      <c r="O11" s="63">
        <f t="shared" si="0"/>
        <v>3800</v>
      </c>
    </row>
    <row r="12" spans="2:17" ht="53.25" customHeight="1" x14ac:dyDescent="0.3">
      <c r="B12" s="55" t="s">
        <v>122</v>
      </c>
      <c r="C12" s="56"/>
      <c r="D12" s="67" t="s">
        <v>123</v>
      </c>
      <c r="H12" s="65" t="s">
        <v>124</v>
      </c>
      <c r="I12" s="58" t="s">
        <v>93</v>
      </c>
      <c r="J12" s="66" t="s">
        <v>94</v>
      </c>
      <c r="K12" s="60">
        <v>0.37119999999999997</v>
      </c>
      <c r="L12" s="61">
        <v>0</v>
      </c>
      <c r="N12" s="62" t="s">
        <v>95</v>
      </c>
      <c r="O12" s="63">
        <f t="shared" si="0"/>
        <v>3711.9999999999995</v>
      </c>
    </row>
    <row r="13" spans="2:17" ht="51.75" customHeight="1" x14ac:dyDescent="0.3">
      <c r="B13" s="67" t="s">
        <v>125</v>
      </c>
      <c r="C13" s="56"/>
      <c r="D13" s="67" t="s">
        <v>126</v>
      </c>
      <c r="H13" s="57" t="s">
        <v>127</v>
      </c>
      <c r="I13" s="58" t="s">
        <v>93</v>
      </c>
      <c r="J13" s="59" t="s">
        <v>94</v>
      </c>
      <c r="K13" s="60">
        <v>0.22025333133000002</v>
      </c>
      <c r="L13" s="61">
        <v>0</v>
      </c>
      <c r="N13" s="62" t="s">
        <v>95</v>
      </c>
      <c r="O13" s="63">
        <f t="shared" si="0"/>
        <v>2202.5333132999999</v>
      </c>
    </row>
    <row r="14" spans="2:17" ht="38.25" customHeight="1" x14ac:dyDescent="0.3">
      <c r="B14" s="67" t="s">
        <v>128</v>
      </c>
      <c r="H14" s="65" t="s">
        <v>129</v>
      </c>
      <c r="I14" s="58" t="s">
        <v>93</v>
      </c>
      <c r="J14" s="66" t="s">
        <v>94</v>
      </c>
      <c r="K14" s="60">
        <v>0.68</v>
      </c>
      <c r="L14" s="61">
        <v>4.4807319999999997</v>
      </c>
      <c r="N14" s="62" t="s">
        <v>95</v>
      </c>
      <c r="O14" s="63">
        <f t="shared" si="0"/>
        <v>6800.0000000000009</v>
      </c>
    </row>
    <row r="15" spans="2:17" ht="38.25" customHeight="1" x14ac:dyDescent="0.3">
      <c r="B15" s="67" t="s">
        <v>130</v>
      </c>
      <c r="D15" s="71"/>
      <c r="H15" s="65" t="s">
        <v>131</v>
      </c>
      <c r="I15" s="58" t="s">
        <v>93</v>
      </c>
      <c r="J15" s="66" t="s">
        <v>94</v>
      </c>
      <c r="K15" s="60">
        <v>0.93859999999999999</v>
      </c>
      <c r="L15" s="61">
        <v>4.08291</v>
      </c>
      <c r="N15" s="62" t="s">
        <v>95</v>
      </c>
      <c r="O15" s="63">
        <f t="shared" si="0"/>
        <v>9386</v>
      </c>
    </row>
    <row r="16" spans="2:17" ht="27" customHeight="1" x14ac:dyDescent="0.3">
      <c r="B16" s="67" t="s">
        <v>132</v>
      </c>
      <c r="D16" s="71"/>
      <c r="H16" s="65" t="s">
        <v>133</v>
      </c>
      <c r="I16" s="58" t="s">
        <v>93</v>
      </c>
      <c r="J16" s="59" t="s">
        <v>94</v>
      </c>
      <c r="K16" s="60">
        <v>0.8</v>
      </c>
      <c r="L16" s="61">
        <v>4.08291</v>
      </c>
      <c r="N16" s="62" t="s">
        <v>95</v>
      </c>
      <c r="O16" s="63">
        <f t="shared" si="0"/>
        <v>8000</v>
      </c>
    </row>
    <row r="17" spans="2:15" ht="40.200000000000003" x14ac:dyDescent="0.3">
      <c r="B17" s="67" t="s">
        <v>134</v>
      </c>
      <c r="D17" s="71"/>
      <c r="H17" s="57" t="s">
        <v>135</v>
      </c>
      <c r="I17" s="58" t="s">
        <v>78</v>
      </c>
      <c r="J17" s="66" t="s">
        <v>136</v>
      </c>
      <c r="K17" s="60">
        <f>0.086/1000</f>
        <v>8.599999999999999E-5</v>
      </c>
      <c r="L17" s="61">
        <v>1.7674418604651163</v>
      </c>
      <c r="N17" s="62" t="s">
        <v>137</v>
      </c>
      <c r="O17" s="63">
        <f t="shared" ref="O17:O21" si="1">+K17*10000000</f>
        <v>859.99999999999989</v>
      </c>
    </row>
    <row r="18" spans="2:15" x14ac:dyDescent="0.3">
      <c r="B18" s="55" t="s">
        <v>138</v>
      </c>
      <c r="D18" s="71"/>
      <c r="H18" s="65" t="s">
        <v>139</v>
      </c>
      <c r="I18" s="58" t="s">
        <v>104</v>
      </c>
      <c r="J18" s="66" t="s">
        <v>77</v>
      </c>
      <c r="K18" s="60">
        <f>0.9593/1000</f>
        <v>9.5930000000000006E-4</v>
      </c>
      <c r="L18" s="61">
        <v>3.2412023999999997</v>
      </c>
      <c r="N18" s="68" t="s">
        <v>105</v>
      </c>
      <c r="O18" s="63">
        <f t="shared" si="1"/>
        <v>9593</v>
      </c>
    </row>
    <row r="19" spans="2:15" ht="53.4" x14ac:dyDescent="0.3">
      <c r="B19" s="67" t="s">
        <v>140</v>
      </c>
      <c r="D19" s="71"/>
      <c r="H19" s="65" t="s">
        <v>141</v>
      </c>
      <c r="I19" s="58" t="s">
        <v>104</v>
      </c>
      <c r="J19" s="66" t="s">
        <v>77</v>
      </c>
      <c r="K19" s="60">
        <f>0.9532/1000</f>
        <v>9.5320000000000008E-4</v>
      </c>
      <c r="L19" s="61">
        <v>3.2412023999999997</v>
      </c>
      <c r="N19" s="68" t="s">
        <v>105</v>
      </c>
      <c r="O19" s="63">
        <f t="shared" si="1"/>
        <v>9532</v>
      </c>
    </row>
    <row r="20" spans="2:15" ht="40.200000000000003" x14ac:dyDescent="0.3">
      <c r="B20" s="67" t="s">
        <v>142</v>
      </c>
      <c r="D20" s="71"/>
      <c r="H20" s="57" t="s">
        <v>143</v>
      </c>
      <c r="I20" s="58" t="s">
        <v>104</v>
      </c>
      <c r="J20" s="66" t="s">
        <v>77</v>
      </c>
      <c r="K20" s="60">
        <f>0.9638/1000</f>
        <v>9.6380000000000001E-4</v>
      </c>
      <c r="L20" s="61">
        <v>3.2412023999999997</v>
      </c>
      <c r="N20" s="68" t="s">
        <v>105</v>
      </c>
      <c r="O20" s="63">
        <f t="shared" si="1"/>
        <v>9638</v>
      </c>
    </row>
    <row r="21" spans="2:15" ht="66.599999999999994" x14ac:dyDescent="0.3">
      <c r="B21" s="67" t="s">
        <v>144</v>
      </c>
      <c r="D21" s="72"/>
      <c r="H21" s="65" t="s">
        <v>145</v>
      </c>
      <c r="I21" s="58" t="s">
        <v>146</v>
      </c>
      <c r="J21" s="66" t="s">
        <v>147</v>
      </c>
      <c r="K21" s="60">
        <f>0.83/1000</f>
        <v>8.3000000000000001E-4</v>
      </c>
      <c r="L21" s="61">
        <v>2.3492435999999999</v>
      </c>
      <c r="N21" s="68" t="s">
        <v>148</v>
      </c>
      <c r="O21" s="63">
        <f t="shared" si="1"/>
        <v>8300</v>
      </c>
    </row>
    <row r="22" spans="2:15" ht="27" x14ac:dyDescent="0.3">
      <c r="B22" s="67" t="s">
        <v>149</v>
      </c>
      <c r="D22" s="71"/>
      <c r="H22" s="57" t="s">
        <v>150</v>
      </c>
      <c r="I22" s="58" t="s">
        <v>104</v>
      </c>
      <c r="J22" s="66" t="s">
        <v>77</v>
      </c>
      <c r="K22" s="60">
        <f>0.8584/1000</f>
        <v>8.5840000000000005E-4</v>
      </c>
      <c r="L22" s="61">
        <v>3.1030115999999999</v>
      </c>
      <c r="N22" s="68" t="s">
        <v>105</v>
      </c>
      <c r="O22" s="63">
        <f>+K22*10000000</f>
        <v>8584</v>
      </c>
    </row>
    <row r="23" spans="2:15" ht="40.200000000000003" x14ac:dyDescent="0.3">
      <c r="B23" s="67" t="s">
        <v>151</v>
      </c>
      <c r="D23" s="71"/>
      <c r="H23" s="65" t="s">
        <v>152</v>
      </c>
      <c r="I23" s="58" t="s">
        <v>104</v>
      </c>
      <c r="J23" s="66" t="s">
        <v>77</v>
      </c>
      <c r="K23" s="60">
        <f>0.8697/1000</f>
        <v>8.6970000000000005E-4</v>
      </c>
      <c r="L23" s="61">
        <v>3.1030115999999999</v>
      </c>
      <c r="N23" s="68" t="s">
        <v>105</v>
      </c>
      <c r="O23" s="63">
        <f>+K23*10000000</f>
        <v>8697</v>
      </c>
    </row>
    <row r="24" spans="2:15" x14ac:dyDescent="0.3">
      <c r="B24" s="55" t="s">
        <v>153</v>
      </c>
      <c r="H24" s="65" t="s">
        <v>154</v>
      </c>
      <c r="I24" s="58" t="s">
        <v>104</v>
      </c>
      <c r="J24" s="66" t="s">
        <v>77</v>
      </c>
      <c r="K24" s="60">
        <v>7.5810000000000005E-4</v>
      </c>
      <c r="L24" s="61">
        <v>2.9020067999999997</v>
      </c>
      <c r="N24" s="68" t="s">
        <v>105</v>
      </c>
      <c r="O24" s="63">
        <f>+K24*10000000</f>
        <v>7581.0000000000009</v>
      </c>
    </row>
    <row r="25" spans="2:15" ht="66.599999999999994" x14ac:dyDescent="0.3">
      <c r="B25" s="67" t="s">
        <v>155</v>
      </c>
      <c r="H25" s="57" t="s">
        <v>156</v>
      </c>
      <c r="I25" s="58" t="s">
        <v>104</v>
      </c>
      <c r="J25" s="66" t="s">
        <v>77</v>
      </c>
      <c r="K25" s="60">
        <v>8.0110000000000001E-4</v>
      </c>
      <c r="L25" s="61">
        <v>2.9020067999999997</v>
      </c>
      <c r="N25" s="68" t="s">
        <v>105</v>
      </c>
      <c r="O25" s="63">
        <f>+K25*10000000</f>
        <v>8011</v>
      </c>
    </row>
    <row r="26" spans="2:15" ht="15" x14ac:dyDescent="0.3">
      <c r="B26" s="71"/>
      <c r="D26" s="73"/>
      <c r="H26" s="57" t="s">
        <v>157</v>
      </c>
      <c r="I26" s="58" t="s">
        <v>104</v>
      </c>
      <c r="J26" s="66" t="s">
        <v>77</v>
      </c>
      <c r="K26" s="60">
        <v>7.9350000000000004E-4</v>
      </c>
      <c r="L26" s="61">
        <v>2.9020067999999997</v>
      </c>
      <c r="N26" s="68" t="s">
        <v>105</v>
      </c>
      <c r="O26" s="63">
        <f>+K26*10000000</f>
        <v>7935</v>
      </c>
    </row>
    <row r="27" spans="2:15" x14ac:dyDescent="0.3">
      <c r="B27" s="71"/>
      <c r="H27" s="65" t="s">
        <v>158</v>
      </c>
      <c r="I27" s="58" t="s">
        <v>93</v>
      </c>
      <c r="J27" s="66" t="s">
        <v>94</v>
      </c>
      <c r="K27" s="60">
        <v>1.0878000000000001</v>
      </c>
      <c r="L27" s="61">
        <v>2.6423755999999998</v>
      </c>
      <c r="N27" s="62" t="s">
        <v>95</v>
      </c>
      <c r="O27" s="63">
        <f>+K27*10000000/1000</f>
        <v>10878.000000000002</v>
      </c>
    </row>
    <row r="28" spans="2:15" x14ac:dyDescent="0.3">
      <c r="B28" s="71"/>
      <c r="H28" s="65" t="s">
        <v>159</v>
      </c>
      <c r="I28" s="58" t="s">
        <v>93</v>
      </c>
      <c r="J28" s="59" t="s">
        <v>94</v>
      </c>
      <c r="K28" s="60">
        <v>0.27</v>
      </c>
      <c r="L28" s="61">
        <v>0</v>
      </c>
      <c r="N28" s="62" t="s">
        <v>95</v>
      </c>
      <c r="O28" s="63">
        <f>+K28*10000000/1000</f>
        <v>2700</v>
      </c>
    </row>
    <row r="29" spans="2:15" x14ac:dyDescent="0.3">
      <c r="B29" s="71"/>
      <c r="H29" s="65" t="s">
        <v>160</v>
      </c>
      <c r="I29" s="58" t="s">
        <v>93</v>
      </c>
      <c r="J29" s="66" t="s">
        <v>94</v>
      </c>
      <c r="K29" s="60">
        <v>0.27029999999999998</v>
      </c>
      <c r="L29" s="61">
        <v>0</v>
      </c>
      <c r="N29" s="62" t="s">
        <v>95</v>
      </c>
      <c r="O29" s="63">
        <f>+K29*10000000/1000</f>
        <v>2703</v>
      </c>
    </row>
    <row r="30" spans="2:15" x14ac:dyDescent="0.3">
      <c r="B30" s="71"/>
      <c r="H30" s="57" t="s">
        <v>161</v>
      </c>
      <c r="I30" s="58" t="s">
        <v>93</v>
      </c>
      <c r="J30" s="59" t="s">
        <v>94</v>
      </c>
      <c r="K30" s="60">
        <v>0.46968509999999997</v>
      </c>
      <c r="L30" s="61">
        <v>0</v>
      </c>
      <c r="N30" s="62" t="s">
        <v>95</v>
      </c>
      <c r="O30" s="63">
        <f>+K30*10000000/1000</f>
        <v>4696.8509999999997</v>
      </c>
    </row>
    <row r="31" spans="2:15" x14ac:dyDescent="0.3">
      <c r="B31" s="71"/>
      <c r="H31" s="65" t="s">
        <v>162</v>
      </c>
      <c r="I31" s="58" t="s">
        <v>146</v>
      </c>
      <c r="J31" s="66" t="s">
        <v>77</v>
      </c>
      <c r="K31" s="60">
        <f>0.5678/1000</f>
        <v>5.6779999999999992E-4</v>
      </c>
      <c r="L31" s="61">
        <v>2.6423755999999998</v>
      </c>
      <c r="N31" s="68" t="s">
        <v>105</v>
      </c>
      <c r="O31" s="63">
        <f>+K31*10000000</f>
        <v>5677.9999999999991</v>
      </c>
    </row>
    <row r="32" spans="2:15" x14ac:dyDescent="0.3">
      <c r="B32" s="72"/>
      <c r="H32" s="57" t="s">
        <v>163</v>
      </c>
      <c r="I32" s="58" t="s">
        <v>104</v>
      </c>
      <c r="J32" s="66" t="s">
        <v>77</v>
      </c>
      <c r="K32" s="60">
        <f>0.8271/1000</f>
        <v>8.2709999999999999E-4</v>
      </c>
      <c r="L32" s="61">
        <v>3.0108844000000001</v>
      </c>
      <c r="N32" s="68" t="s">
        <v>105</v>
      </c>
      <c r="O32" s="63">
        <f>+K32*10000000</f>
        <v>8271</v>
      </c>
    </row>
    <row r="33" spans="2:15" x14ac:dyDescent="0.3">
      <c r="B33" s="71"/>
      <c r="H33" s="57" t="s">
        <v>164</v>
      </c>
      <c r="I33" s="58" t="s">
        <v>93</v>
      </c>
      <c r="J33" s="59" t="s">
        <v>94</v>
      </c>
      <c r="K33" s="60">
        <v>0.22788521454000002</v>
      </c>
      <c r="L33" s="61">
        <v>0</v>
      </c>
      <c r="N33" s="62" t="s">
        <v>95</v>
      </c>
      <c r="O33" s="63">
        <f>+K33*10000000/1000</f>
        <v>2278.8521454000002</v>
      </c>
    </row>
    <row r="34" spans="2:15" x14ac:dyDescent="0.3">
      <c r="B34" s="71"/>
      <c r="H34" s="57" t="s">
        <v>165</v>
      </c>
      <c r="I34" s="58" t="s">
        <v>93</v>
      </c>
      <c r="J34" s="66" t="s">
        <v>94</v>
      </c>
      <c r="K34" s="60">
        <v>1.0878000000000001</v>
      </c>
      <c r="L34" s="61">
        <v>2.6423755999999998</v>
      </c>
      <c r="N34" s="62" t="s">
        <v>95</v>
      </c>
      <c r="O34" s="63">
        <f>+K34*10000000/1000</f>
        <v>10878.000000000002</v>
      </c>
    </row>
    <row r="35" spans="2:15" x14ac:dyDescent="0.3">
      <c r="B35" s="72"/>
    </row>
    <row r="36" spans="2:15" x14ac:dyDescent="0.3">
      <c r="B36" s="71"/>
    </row>
    <row r="37" spans="2:15" x14ac:dyDescent="0.3">
      <c r="B37" s="72"/>
    </row>
    <row r="38" spans="2:15" x14ac:dyDescent="0.3">
      <c r="B38" s="72"/>
    </row>
    <row r="39" spans="2:15" x14ac:dyDescent="0.3">
      <c r="B39" s="74"/>
    </row>
    <row r="40" spans="2:15" x14ac:dyDescent="0.3">
      <c r="B40" s="72"/>
    </row>
    <row r="41" spans="2:15" x14ac:dyDescent="0.3">
      <c r="B41" s="72"/>
    </row>
    <row r="42" spans="2:15" x14ac:dyDescent="0.3">
      <c r="B42" s="71"/>
    </row>
    <row r="43" spans="2:15" x14ac:dyDescent="0.3">
      <c r="B43" s="71"/>
    </row>
    <row r="44" spans="2:15" x14ac:dyDescent="0.3">
      <c r="B44" s="71"/>
    </row>
    <row r="45" spans="2:15" x14ac:dyDescent="0.3">
      <c r="B45" s="72"/>
    </row>
    <row r="46" spans="2:15" x14ac:dyDescent="0.3">
      <c r="B46" s="72"/>
    </row>
    <row r="47" spans="2:15" x14ac:dyDescent="0.3">
      <c r="B47" s="71"/>
    </row>
    <row r="50" spans="2:2" x14ac:dyDescent="0.3">
      <c r="B50" s="75"/>
    </row>
    <row r="51" spans="2:2" ht="15" x14ac:dyDescent="0.3">
      <c r="B51" s="73"/>
    </row>
    <row r="52" spans="2:2" x14ac:dyDescent="0.3">
      <c r="B52" s="75"/>
    </row>
    <row r="53" spans="2:2" x14ac:dyDescent="0.3">
      <c r="B53" s="76"/>
    </row>
    <row r="54" spans="2:2" x14ac:dyDescent="0.3">
      <c r="B54" s="75"/>
    </row>
    <row r="55" spans="2:2" x14ac:dyDescent="0.3">
      <c r="B55" s="76"/>
    </row>
    <row r="56" spans="2:2" ht="15" x14ac:dyDescent="0.3">
      <c r="B56" s="73"/>
    </row>
    <row r="57" spans="2:2" x14ac:dyDescent="0.3">
      <c r="B57" s="76"/>
    </row>
    <row r="58" spans="2:2" x14ac:dyDescent="0.3">
      <c r="B58" s="75"/>
    </row>
    <row r="59" spans="2:2" ht="15" x14ac:dyDescent="0.3">
      <c r="B59" s="73"/>
    </row>
    <row r="60" spans="2:2" x14ac:dyDescent="0.3">
      <c r="B60" s="75"/>
    </row>
    <row r="61" spans="2:2" x14ac:dyDescent="0.3">
      <c r="B6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W46"/>
  <sheetViews>
    <sheetView topLeftCell="B19" workbookViewId="0">
      <selection activeCell="E39" sqref="E39"/>
    </sheetView>
  </sheetViews>
  <sheetFormatPr baseColWidth="10" defaultRowHeight="14.4" x14ac:dyDescent="0.3"/>
  <cols>
    <col min="2" max="2" width="14.88671875" customWidth="1"/>
    <col min="3" max="3" width="23.5546875" customWidth="1"/>
    <col min="5" max="5" width="17.109375" customWidth="1"/>
    <col min="8" max="10" width="0" hidden="1" customWidth="1"/>
    <col min="11" max="11" width="14.109375" hidden="1" customWidth="1"/>
    <col min="12" max="12" width="0" hidden="1" customWidth="1"/>
    <col min="15" max="15" width="13.109375" customWidth="1"/>
    <col min="17" max="17" width="11.44140625" customWidth="1"/>
    <col min="18" max="18" width="16.88671875" customWidth="1"/>
    <col min="19" max="19" width="9.5546875" style="41" bestFit="1" customWidth="1"/>
    <col min="20" max="20" width="11.44140625" style="41"/>
    <col min="21" max="21" width="16.88671875" style="41" bestFit="1" customWidth="1"/>
    <col min="22" max="22" width="13" bestFit="1" customWidth="1"/>
  </cols>
  <sheetData>
    <row r="4" spans="2:23" ht="30" customHeight="1" x14ac:dyDescent="0.25">
      <c r="B4" s="1" t="s">
        <v>24</v>
      </c>
      <c r="C4">
        <v>300</v>
      </c>
      <c r="E4" s="16" t="s">
        <v>31</v>
      </c>
      <c r="F4" s="16"/>
      <c r="G4" s="16"/>
      <c r="H4" s="16"/>
      <c r="I4" s="16"/>
      <c r="J4" s="16"/>
      <c r="K4" s="16"/>
      <c r="L4" s="16"/>
      <c r="N4" t="s">
        <v>38</v>
      </c>
      <c r="R4" s="16" t="s">
        <v>69</v>
      </c>
      <c r="S4" s="43"/>
      <c r="T4" s="43"/>
      <c r="U4" s="43"/>
    </row>
    <row r="5" spans="2:23" ht="43.2" x14ac:dyDescent="0.3">
      <c r="C5" t="s">
        <v>44</v>
      </c>
      <c r="D5" t="s">
        <v>26</v>
      </c>
      <c r="E5" s="27" t="s">
        <v>27</v>
      </c>
      <c r="F5" s="27" t="s">
        <v>45</v>
      </c>
      <c r="G5" s="27" t="s">
        <v>46</v>
      </c>
      <c r="H5" t="s">
        <v>28</v>
      </c>
      <c r="I5" t="s">
        <v>29</v>
      </c>
      <c r="J5" t="s">
        <v>30</v>
      </c>
      <c r="K5" s="1" t="s">
        <v>34</v>
      </c>
      <c r="L5" s="1" t="s">
        <v>42</v>
      </c>
      <c r="N5" t="s">
        <v>39</v>
      </c>
      <c r="O5" t="s">
        <v>40</v>
      </c>
      <c r="P5" s="26" t="s">
        <v>47</v>
      </c>
      <c r="Q5" t="s">
        <v>46</v>
      </c>
      <c r="R5" t="s">
        <v>70</v>
      </c>
      <c r="S5" s="41" t="s">
        <v>71</v>
      </c>
      <c r="U5" s="41" t="s">
        <v>25</v>
      </c>
    </row>
    <row r="6" spans="2:23" ht="15" x14ac:dyDescent="0.25">
      <c r="B6">
        <v>1</v>
      </c>
      <c r="C6">
        <v>130109.99999999968</v>
      </c>
      <c r="D6">
        <v>0.65241665433792073</v>
      </c>
      <c r="E6" s="40">
        <f>+D6*C6</f>
        <v>84885.930895906655</v>
      </c>
      <c r="F6" s="28">
        <f>+'EJEMPLO GAS -CALDERETA'!F10</f>
        <v>22.645828728519902</v>
      </c>
      <c r="G6" s="28">
        <f>+E6/F6</f>
        <v>3748.4135340563744</v>
      </c>
      <c r="H6" s="2">
        <v>24</v>
      </c>
      <c r="I6" s="2">
        <v>31</v>
      </c>
      <c r="J6" s="2">
        <f>+I6*H6</f>
        <v>744</v>
      </c>
      <c r="K6" s="24">
        <f>+E6/$C$4</f>
        <v>282.95310298635553</v>
      </c>
      <c r="L6" s="9">
        <f>+K6/J6</f>
        <v>0.38031331046553163</v>
      </c>
      <c r="N6">
        <f>7*(I6-8)+24*8</f>
        <v>353</v>
      </c>
      <c r="O6">
        <f>+N6*L6*$C$4*0.05</f>
        <v>2013.7589789149902</v>
      </c>
      <c r="P6" s="24">
        <f>+O6/F6</f>
        <v>88.924057629159961</v>
      </c>
      <c r="R6" s="37">
        <f>+F6*$O$21*(400)</f>
        <v>4094365.8341163979</v>
      </c>
      <c r="S6" s="41">
        <f>+R6/3600</f>
        <v>1137.3238428101106</v>
      </c>
      <c r="T6" s="41">
        <f t="shared" ref="T6:T17" si="0">+E6-S6</f>
        <v>83748.607053096537</v>
      </c>
      <c r="U6" s="41">
        <f>1724*(0.111+390*400)/(3600)</f>
        <v>74706.719823333333</v>
      </c>
      <c r="V6" s="39">
        <f>+U6+S6-E6</f>
        <v>-9041.8872297632042</v>
      </c>
      <c r="W6" s="38">
        <f>-V6/E6</f>
        <v>0.1065180900336833</v>
      </c>
    </row>
    <row r="7" spans="2:23" ht="15" x14ac:dyDescent="0.25">
      <c r="B7">
        <v>2</v>
      </c>
      <c r="C7">
        <v>183690.00000000006</v>
      </c>
      <c r="D7">
        <v>0.49757180017682634</v>
      </c>
      <c r="E7" s="40">
        <f t="shared" ref="E7:E17" si="1">+D7*C7</f>
        <v>91398.963974481259</v>
      </c>
      <c r="F7" s="28">
        <f>+'EJEMPLO GAS -CALDERETA'!F11</f>
        <v>108.78187346426606</v>
      </c>
      <c r="G7" s="28">
        <f t="shared" ref="G7:G17" si="2">+E7/F7</f>
        <v>840.20398862228694</v>
      </c>
      <c r="H7" s="2">
        <v>24</v>
      </c>
      <c r="I7" s="2">
        <v>28</v>
      </c>
      <c r="J7" s="2">
        <f t="shared" ref="J7:J17" si="3">+I7*H7</f>
        <v>672</v>
      </c>
      <c r="K7" s="24">
        <f t="shared" ref="K7:K18" si="4">+E7/$C$4</f>
        <v>304.66321324827089</v>
      </c>
      <c r="L7" s="9">
        <f t="shared" ref="L7:L17" si="5">+K7/J7</f>
        <v>0.45336787685754598</v>
      </c>
      <c r="N7">
        <f t="shared" ref="N7:N17" si="6">7*(I7-8)+24*8</f>
        <v>332</v>
      </c>
      <c r="O7">
        <f t="shared" ref="O7:O17" si="7">+N7*L7*$C$4*0.05</f>
        <v>2257.7720267505788</v>
      </c>
      <c r="P7" s="24">
        <f t="shared" ref="P7:P18" si="8">+O7/F7</f>
        <v>20.755039004657686</v>
      </c>
      <c r="R7" s="37">
        <f t="shared" ref="R7:R17" si="9">+F7*$O$21*(400)</f>
        <v>19667762.722339302</v>
      </c>
      <c r="S7" s="41">
        <f t="shared" ref="S7:S17" si="10">+R7/3600</f>
        <v>5463.267422872028</v>
      </c>
      <c r="T7" s="41">
        <f t="shared" si="0"/>
        <v>85935.696551609231</v>
      </c>
    </row>
    <row r="8" spans="2:23" ht="15" x14ac:dyDescent="0.25">
      <c r="B8">
        <v>3</v>
      </c>
      <c r="C8">
        <v>221456.99999999988</v>
      </c>
      <c r="D8">
        <v>0.49548443916509022</v>
      </c>
      <c r="E8" s="40">
        <f t="shared" si="1"/>
        <v>109728.49744418333</v>
      </c>
      <c r="F8" s="28">
        <f>+'EJEMPLO GAS -CALDERETA'!F12</f>
        <v>117.47980988016077</v>
      </c>
      <c r="G8" s="28">
        <f t="shared" si="2"/>
        <v>934.02004613486838</v>
      </c>
      <c r="H8" s="2">
        <v>24</v>
      </c>
      <c r="I8" s="2">
        <v>31</v>
      </c>
      <c r="J8" s="2">
        <f t="shared" si="3"/>
        <v>744</v>
      </c>
      <c r="K8" s="24">
        <f t="shared" si="4"/>
        <v>365.76165814727779</v>
      </c>
      <c r="L8" s="9">
        <f t="shared" si="5"/>
        <v>0.49161513191838413</v>
      </c>
      <c r="N8">
        <f t="shared" si="6"/>
        <v>353</v>
      </c>
      <c r="O8">
        <f t="shared" si="7"/>
        <v>2603.1021235078442</v>
      </c>
      <c r="P8" s="24">
        <f t="shared" si="8"/>
        <v>22.157868029946815</v>
      </c>
      <c r="R8" s="37">
        <f t="shared" si="9"/>
        <v>21240349.626333069</v>
      </c>
      <c r="S8" s="41">
        <f t="shared" si="10"/>
        <v>5900.0971184258524</v>
      </c>
      <c r="T8" s="41">
        <f t="shared" si="0"/>
        <v>103828.40032575748</v>
      </c>
    </row>
    <row r="9" spans="2:23" ht="15" x14ac:dyDescent="0.25">
      <c r="B9">
        <v>4</v>
      </c>
      <c r="C9">
        <v>215955.00000000038</v>
      </c>
      <c r="D9">
        <v>0.43630279107990749</v>
      </c>
      <c r="E9" s="40">
        <f t="shared" si="1"/>
        <v>94221.769247661592</v>
      </c>
      <c r="F9" s="28">
        <f>+'EJEMPLO GAS -CALDERETA'!F13</f>
        <v>87.175672894179741</v>
      </c>
      <c r="G9" s="28">
        <f t="shared" si="2"/>
        <v>1080.8264062616979</v>
      </c>
      <c r="H9" s="2">
        <v>24</v>
      </c>
      <c r="I9" s="2">
        <v>30</v>
      </c>
      <c r="J9" s="2">
        <f t="shared" si="3"/>
        <v>720</v>
      </c>
      <c r="K9" s="24">
        <f t="shared" si="4"/>
        <v>314.07256415887196</v>
      </c>
      <c r="L9" s="9">
        <f t="shared" si="5"/>
        <v>0.43621189466509996</v>
      </c>
      <c r="N9">
        <f t="shared" si="6"/>
        <v>346</v>
      </c>
      <c r="O9">
        <f t="shared" si="7"/>
        <v>2263.9397333118691</v>
      </c>
      <c r="P9" s="24">
        <f t="shared" si="8"/>
        <v>25.969856706010244</v>
      </c>
      <c r="R9" s="37">
        <f t="shared" si="9"/>
        <v>15761361.659267696</v>
      </c>
      <c r="S9" s="41">
        <f t="shared" si="10"/>
        <v>4378.1560164632492</v>
      </c>
      <c r="T9" s="41">
        <f t="shared" si="0"/>
        <v>89843.613231198338</v>
      </c>
    </row>
    <row r="10" spans="2:23" ht="15" x14ac:dyDescent="0.25">
      <c r="B10">
        <v>5</v>
      </c>
      <c r="C10">
        <v>219309.0000000002</v>
      </c>
      <c r="D10">
        <v>0.49048123480695116</v>
      </c>
      <c r="E10" s="40">
        <f t="shared" si="1"/>
        <v>107566.94912427776</v>
      </c>
      <c r="F10" s="28">
        <f>+'EJEMPLO GAS -CALDERETA'!F14</f>
        <v>147.02930657832727</v>
      </c>
      <c r="G10" s="28">
        <f t="shared" si="2"/>
        <v>731.60209775575163</v>
      </c>
      <c r="H10" s="2">
        <v>24</v>
      </c>
      <c r="I10" s="2">
        <v>31</v>
      </c>
      <c r="J10" s="2">
        <f t="shared" si="3"/>
        <v>744</v>
      </c>
      <c r="K10" s="24">
        <f t="shared" si="4"/>
        <v>358.55649708092585</v>
      </c>
      <c r="L10" s="9">
        <f t="shared" si="5"/>
        <v>0.48193077564640574</v>
      </c>
      <c r="N10">
        <f t="shared" si="6"/>
        <v>353</v>
      </c>
      <c r="O10">
        <f t="shared" si="7"/>
        <v>2551.8234570477184</v>
      </c>
      <c r="P10" s="24">
        <f t="shared" si="8"/>
        <v>17.355883098641151</v>
      </c>
      <c r="R10" s="37">
        <f t="shared" si="9"/>
        <v>26582898.62936157</v>
      </c>
      <c r="S10" s="41">
        <f t="shared" si="10"/>
        <v>7384.138508155992</v>
      </c>
      <c r="T10" s="41">
        <f t="shared" si="0"/>
        <v>100182.81061612177</v>
      </c>
    </row>
    <row r="11" spans="2:23" ht="15" x14ac:dyDescent="0.25">
      <c r="B11">
        <v>6</v>
      </c>
      <c r="C11">
        <v>234089.99999999924</v>
      </c>
      <c r="D11">
        <v>0.47165779882869469</v>
      </c>
      <c r="E11" s="40">
        <f t="shared" si="1"/>
        <v>110410.37412780878</v>
      </c>
      <c r="F11" s="28">
        <f>+'EJEMPLO GAS -CALDERETA'!F15</f>
        <v>77.028961214718606</v>
      </c>
      <c r="G11" s="28">
        <f t="shared" si="2"/>
        <v>1433.3618471114951</v>
      </c>
      <c r="H11" s="2">
        <v>24</v>
      </c>
      <c r="I11" s="2">
        <v>30</v>
      </c>
      <c r="J11" s="2">
        <f t="shared" si="3"/>
        <v>720</v>
      </c>
      <c r="K11" s="24">
        <f t="shared" si="4"/>
        <v>368.03458042602927</v>
      </c>
      <c r="L11" s="9">
        <f t="shared" si="5"/>
        <v>0.51115913948059621</v>
      </c>
      <c r="N11">
        <f t="shared" si="6"/>
        <v>346</v>
      </c>
      <c r="O11">
        <f t="shared" si="7"/>
        <v>2652.9159339042944</v>
      </c>
      <c r="P11" s="24">
        <f t="shared" si="8"/>
        <v>34.440499937540096</v>
      </c>
      <c r="R11" s="37">
        <f t="shared" si="9"/>
        <v>13926836.187621124</v>
      </c>
      <c r="S11" s="41">
        <f t="shared" si="10"/>
        <v>3868.5656076725345</v>
      </c>
      <c r="T11" s="41">
        <f t="shared" si="0"/>
        <v>106541.80852013626</v>
      </c>
    </row>
    <row r="12" spans="2:23" ht="15" x14ac:dyDescent="0.25">
      <c r="B12">
        <v>7</v>
      </c>
      <c r="C12">
        <v>216741.0000000009</v>
      </c>
      <c r="D12">
        <v>0.48966103988339671</v>
      </c>
      <c r="E12" s="40">
        <f t="shared" si="1"/>
        <v>106129.62344536773</v>
      </c>
      <c r="F12" s="28">
        <f>+'EJEMPLO GAS -CALDERETA'!F16</f>
        <v>72.82142856497066</v>
      </c>
      <c r="G12" s="28">
        <f t="shared" si="2"/>
        <v>1457.3955158086439</v>
      </c>
      <c r="H12" s="2">
        <v>24</v>
      </c>
      <c r="I12" s="2">
        <v>31</v>
      </c>
      <c r="J12" s="2">
        <f t="shared" si="3"/>
        <v>744</v>
      </c>
      <c r="K12" s="24">
        <f t="shared" si="4"/>
        <v>353.76541148455908</v>
      </c>
      <c r="L12" s="9">
        <f t="shared" si="5"/>
        <v>0.47549114446849339</v>
      </c>
      <c r="N12">
        <f t="shared" si="6"/>
        <v>353</v>
      </c>
      <c r="O12">
        <f t="shared" si="7"/>
        <v>2517.725609960673</v>
      </c>
      <c r="P12" s="24">
        <f t="shared" si="8"/>
        <v>34.573966201643238</v>
      </c>
      <c r="R12" s="37">
        <f t="shared" si="9"/>
        <v>13166114.284546696</v>
      </c>
      <c r="S12" s="41">
        <f t="shared" si="10"/>
        <v>3657.2539679296378</v>
      </c>
      <c r="T12" s="41">
        <f t="shared" si="0"/>
        <v>102472.3694774381</v>
      </c>
    </row>
    <row r="13" spans="2:23" ht="15" x14ac:dyDescent="0.25">
      <c r="B13">
        <v>8</v>
      </c>
      <c r="C13">
        <v>213752.99999999924</v>
      </c>
      <c r="D13">
        <v>0.50695124655261214</v>
      </c>
      <c r="E13" s="40">
        <f t="shared" si="1"/>
        <v>108362.34980436011</v>
      </c>
      <c r="F13" s="28">
        <f>+'EJEMPLO GAS -CALDERETA'!F17</f>
        <v>63.27600159196853</v>
      </c>
      <c r="G13" s="28">
        <f t="shared" si="2"/>
        <v>1712.5347221388636</v>
      </c>
      <c r="H13" s="2">
        <v>24</v>
      </c>
      <c r="I13" s="2">
        <v>31</v>
      </c>
      <c r="J13" s="2">
        <f t="shared" si="3"/>
        <v>744</v>
      </c>
      <c r="K13" s="24">
        <f t="shared" si="4"/>
        <v>361.20783268120039</v>
      </c>
      <c r="L13" s="9">
        <f t="shared" si="5"/>
        <v>0.48549439876505429</v>
      </c>
      <c r="N13">
        <f t="shared" si="6"/>
        <v>353</v>
      </c>
      <c r="O13">
        <f t="shared" si="7"/>
        <v>2570.6928414609629</v>
      </c>
      <c r="P13" s="24">
        <f t="shared" si="8"/>
        <v>40.626663771170627</v>
      </c>
      <c r="R13" s="37">
        <f t="shared" si="9"/>
        <v>11440301.08782791</v>
      </c>
      <c r="S13" s="41">
        <f t="shared" si="10"/>
        <v>3177.8614132855305</v>
      </c>
      <c r="T13" s="41">
        <f t="shared" si="0"/>
        <v>105184.48839107458</v>
      </c>
    </row>
    <row r="14" spans="2:23" ht="15" x14ac:dyDescent="0.25">
      <c r="B14">
        <v>9</v>
      </c>
      <c r="C14">
        <v>224727.00000000032</v>
      </c>
      <c r="D14">
        <v>0.53121477858859756</v>
      </c>
      <c r="E14" s="40">
        <f t="shared" si="1"/>
        <v>119378.30354787993</v>
      </c>
      <c r="F14" s="28">
        <f>+'EJEMPLO GAS -CALDERETA'!F18</f>
        <v>136.83713637492875</v>
      </c>
      <c r="G14" s="28">
        <f t="shared" si="2"/>
        <v>872.41158877212797</v>
      </c>
      <c r="H14" s="2">
        <v>24</v>
      </c>
      <c r="I14" s="2">
        <v>30</v>
      </c>
      <c r="J14" s="2">
        <f t="shared" si="3"/>
        <v>720</v>
      </c>
      <c r="K14" s="24">
        <f t="shared" si="4"/>
        <v>397.92767849293307</v>
      </c>
      <c r="L14" s="9">
        <f t="shared" si="5"/>
        <v>0.55267733124018481</v>
      </c>
      <c r="N14">
        <f t="shared" si="6"/>
        <v>346</v>
      </c>
      <c r="O14">
        <f t="shared" si="7"/>
        <v>2868.3953491365592</v>
      </c>
      <c r="P14" s="24">
        <f t="shared" si="8"/>
        <v>20.962111785774738</v>
      </c>
      <c r="R14" s="37">
        <f t="shared" si="9"/>
        <v>24740154.256587118</v>
      </c>
      <c r="S14" s="41">
        <f t="shared" si="10"/>
        <v>6872.2650712741997</v>
      </c>
      <c r="T14" s="41">
        <f t="shared" si="0"/>
        <v>112506.03847660573</v>
      </c>
    </row>
    <row r="15" spans="2:23" ht="15" x14ac:dyDescent="0.25">
      <c r="B15">
        <v>10</v>
      </c>
      <c r="C15">
        <v>239520.00000000044</v>
      </c>
      <c r="D15">
        <v>0.46107525850605974</v>
      </c>
      <c r="E15" s="40">
        <f t="shared" si="1"/>
        <v>110436.74591737163</v>
      </c>
      <c r="F15" s="28">
        <f>+'EJEMPLO GAS -CALDERETA'!F19</f>
        <v>57.572180541783133</v>
      </c>
      <c r="G15" s="28">
        <f t="shared" si="2"/>
        <v>1918.2310775465926</v>
      </c>
      <c r="H15" s="2">
        <v>24</v>
      </c>
      <c r="I15" s="2">
        <v>31</v>
      </c>
      <c r="J15" s="2">
        <f t="shared" si="3"/>
        <v>744</v>
      </c>
      <c r="K15" s="24">
        <f t="shared" si="4"/>
        <v>368.12248639123879</v>
      </c>
      <c r="L15" s="9">
        <f t="shared" si="5"/>
        <v>0.49478828816026721</v>
      </c>
      <c r="N15">
        <f t="shared" si="6"/>
        <v>353</v>
      </c>
      <c r="O15">
        <f t="shared" si="7"/>
        <v>2619.9039858086153</v>
      </c>
      <c r="P15" s="24">
        <f t="shared" si="8"/>
        <v>45.506422740184632</v>
      </c>
      <c r="R15" s="37">
        <f t="shared" si="9"/>
        <v>10409050.24195439</v>
      </c>
      <c r="S15" s="41">
        <f t="shared" si="10"/>
        <v>2891.4028449873304</v>
      </c>
      <c r="T15" s="41">
        <f t="shared" si="0"/>
        <v>107545.3430723843</v>
      </c>
    </row>
    <row r="16" spans="2:23" ht="15" x14ac:dyDescent="0.25">
      <c r="B16">
        <v>11</v>
      </c>
      <c r="C16">
        <v>219929.99999999849</v>
      </c>
      <c r="D16">
        <v>0.46722509537595835</v>
      </c>
      <c r="E16" s="40">
        <f t="shared" si="1"/>
        <v>102756.81522603381</v>
      </c>
      <c r="F16" s="28">
        <f>+'EJEMPLO GAS -CALDERETA'!F20</f>
        <v>130.37869699206152</v>
      </c>
      <c r="G16" s="28">
        <f t="shared" si="2"/>
        <v>788.14114266144611</v>
      </c>
      <c r="H16" s="2">
        <v>24</v>
      </c>
      <c r="I16" s="2">
        <v>30</v>
      </c>
      <c r="J16" s="2">
        <f t="shared" si="3"/>
        <v>720</v>
      </c>
      <c r="K16" s="24">
        <f t="shared" si="4"/>
        <v>342.52271742011271</v>
      </c>
      <c r="L16" s="9">
        <f t="shared" si="5"/>
        <v>0.47572599641682323</v>
      </c>
      <c r="N16">
        <f t="shared" si="6"/>
        <v>346</v>
      </c>
      <c r="O16">
        <f t="shared" si="7"/>
        <v>2469.0179214033124</v>
      </c>
      <c r="P16" s="24">
        <f t="shared" si="8"/>
        <v>18.937280233393079</v>
      </c>
      <c r="R16" s="37">
        <f t="shared" si="9"/>
        <v>23572468.416164722</v>
      </c>
      <c r="S16" s="41">
        <f t="shared" si="10"/>
        <v>6547.9078933790897</v>
      </c>
      <c r="T16" s="41">
        <f t="shared" si="0"/>
        <v>96208.907332654722</v>
      </c>
    </row>
    <row r="17" spans="2:21" ht="15" x14ac:dyDescent="0.25">
      <c r="B17">
        <v>12</v>
      </c>
      <c r="C17">
        <v>189261.00000000134</v>
      </c>
      <c r="D17">
        <v>0.41903234923828897</v>
      </c>
      <c r="E17" s="40">
        <f t="shared" si="1"/>
        <v>79306.481449188374</v>
      </c>
      <c r="F17" s="28">
        <f>+'EJEMPLO GAS -CALDERETA'!F21</f>
        <v>38.069633235946213</v>
      </c>
      <c r="G17" s="28">
        <f t="shared" si="2"/>
        <v>2083.1953110151162</v>
      </c>
      <c r="H17" s="2">
        <v>24</v>
      </c>
      <c r="I17" s="2">
        <v>31</v>
      </c>
      <c r="J17" s="2">
        <f t="shared" si="3"/>
        <v>744</v>
      </c>
      <c r="K17" s="24">
        <f t="shared" si="4"/>
        <v>264.35493816396126</v>
      </c>
      <c r="L17" s="9">
        <f t="shared" si="5"/>
        <v>0.3553157771020985</v>
      </c>
      <c r="N17">
        <f t="shared" si="6"/>
        <v>353</v>
      </c>
      <c r="O17">
        <f t="shared" si="7"/>
        <v>1881.3970397556118</v>
      </c>
      <c r="P17" s="24">
        <f t="shared" si="8"/>
        <v>49.419888762657003</v>
      </c>
      <c r="R17" s="37">
        <f t="shared" si="9"/>
        <v>6882989.689059075</v>
      </c>
      <c r="S17" s="41">
        <f t="shared" si="10"/>
        <v>1911.9415802941876</v>
      </c>
      <c r="T17" s="41">
        <f t="shared" si="0"/>
        <v>77394.539868894179</v>
      </c>
    </row>
    <row r="18" spans="2:21" s="20" customFormat="1" ht="15" x14ac:dyDescent="0.25">
      <c r="D18" s="20" t="s">
        <v>2</v>
      </c>
      <c r="E18" s="45">
        <f>SUM(E6:E17)</f>
        <v>1224582.8042045208</v>
      </c>
      <c r="F18" s="29">
        <f>SUM(F6:F17)</f>
        <v>1059.0965300618311</v>
      </c>
      <c r="G18" s="30">
        <f>+E18/F18</f>
        <v>1156.2523050972779</v>
      </c>
      <c r="H18" s="7"/>
      <c r="I18" s="7"/>
      <c r="J18" s="7"/>
      <c r="K18" s="29">
        <f t="shared" si="4"/>
        <v>4081.942680681736</v>
      </c>
      <c r="L18" s="31"/>
      <c r="O18" s="44">
        <f>SUM(O6:O17)</f>
        <v>29270.445000963027</v>
      </c>
      <c r="P18" s="29">
        <f t="shared" si="8"/>
        <v>27.637183363497744</v>
      </c>
      <c r="Q18" s="32">
        <f>+G18-P18</f>
        <v>1128.6151217337801</v>
      </c>
      <c r="S18" s="42"/>
      <c r="T18" s="42"/>
      <c r="U18" s="42"/>
    </row>
    <row r="19" spans="2:21" ht="15" x14ac:dyDescent="0.25">
      <c r="I19" t="s">
        <v>35</v>
      </c>
      <c r="K19" t="s">
        <v>36</v>
      </c>
    </row>
    <row r="20" spans="2:21" ht="15" x14ac:dyDescent="0.25">
      <c r="C20" s="25" t="s">
        <v>33</v>
      </c>
      <c r="D20" t="s">
        <v>32</v>
      </c>
      <c r="I20">
        <f>7*5/(24*5)</f>
        <v>0.29166666666666669</v>
      </c>
      <c r="K20">
        <f>+I20/30</f>
        <v>9.7222222222222224E-3</v>
      </c>
    </row>
    <row r="21" spans="2:21" ht="15" x14ac:dyDescent="0.25">
      <c r="D21" t="s">
        <v>37</v>
      </c>
      <c r="J21">
        <f>8/30</f>
        <v>0.26666666666666666</v>
      </c>
      <c r="O21">
        <v>452</v>
      </c>
    </row>
    <row r="22" spans="2:21" ht="15" x14ac:dyDescent="0.25">
      <c r="O22">
        <v>452</v>
      </c>
    </row>
    <row r="24" spans="2:21" ht="15" x14ac:dyDescent="0.25">
      <c r="B24">
        <v>1</v>
      </c>
      <c r="C24" t="s">
        <v>41</v>
      </c>
    </row>
    <row r="25" spans="2:21" x14ac:dyDescent="0.3">
      <c r="B25">
        <v>2</v>
      </c>
      <c r="C25" t="s">
        <v>68</v>
      </c>
    </row>
    <row r="26" spans="2:21" ht="15" x14ac:dyDescent="0.25">
      <c r="B26">
        <v>3</v>
      </c>
      <c r="C26" t="s">
        <v>43</v>
      </c>
    </row>
    <row r="27" spans="2:21" ht="15" x14ac:dyDescent="0.25">
      <c r="B27">
        <v>4</v>
      </c>
      <c r="C27" t="s">
        <v>72</v>
      </c>
    </row>
    <row r="29" spans="2:21" ht="15" x14ac:dyDescent="0.25">
      <c r="B29">
        <v>5</v>
      </c>
      <c r="C29" s="20" t="s">
        <v>48</v>
      </c>
    </row>
    <row r="31" spans="2:21" ht="15" x14ac:dyDescent="0.25">
      <c r="C31" t="s">
        <v>49</v>
      </c>
      <c r="E31" t="s">
        <v>50</v>
      </c>
      <c r="F31">
        <v>3.0049999999999999</v>
      </c>
    </row>
    <row r="32" spans="2:21" ht="15" x14ac:dyDescent="0.25">
      <c r="E32" t="s">
        <v>51</v>
      </c>
      <c r="F32">
        <v>32.6</v>
      </c>
    </row>
    <row r="33" spans="2:7" ht="15" x14ac:dyDescent="0.25">
      <c r="E33" t="s">
        <v>52</v>
      </c>
      <c r="F33">
        <f>+F31/F32</f>
        <v>9.2177914110429443E-2</v>
      </c>
    </row>
    <row r="34" spans="2:7" x14ac:dyDescent="0.3">
      <c r="E34" s="33" t="s">
        <v>53</v>
      </c>
      <c r="F34" s="33">
        <f>+F33*$O$18</f>
        <v>2698.0885652728189</v>
      </c>
    </row>
    <row r="35" spans="2:7" ht="15" x14ac:dyDescent="0.25">
      <c r="B35">
        <v>6</v>
      </c>
      <c r="C35" s="20" t="s">
        <v>54</v>
      </c>
    </row>
    <row r="38" spans="2:7" ht="15" x14ac:dyDescent="0.25">
      <c r="C38" s="16" t="s">
        <v>67</v>
      </c>
      <c r="D38" s="16">
        <f>+O18</f>
        <v>29270.445000963027</v>
      </c>
    </row>
    <row r="39" spans="2:7" ht="15" x14ac:dyDescent="0.25">
      <c r="C39" s="34" t="s">
        <v>63</v>
      </c>
      <c r="D39" s="34">
        <f>0.086/1000</f>
        <v>8.599999999999999E-5</v>
      </c>
      <c r="E39" t="s">
        <v>79</v>
      </c>
    </row>
    <row r="40" spans="2:7" x14ac:dyDescent="0.3">
      <c r="C40" s="34" t="s">
        <v>64</v>
      </c>
      <c r="D40" s="34">
        <v>1.7674399999999999</v>
      </c>
      <c r="E40" t="s">
        <v>59</v>
      </c>
    </row>
    <row r="41" spans="2:7" x14ac:dyDescent="0.3">
      <c r="C41" s="34" t="s">
        <v>65</v>
      </c>
      <c r="D41" s="34">
        <f>+D40*D39</f>
        <v>1.5199983999999997E-4</v>
      </c>
    </row>
    <row r="42" spans="2:7" x14ac:dyDescent="0.3">
      <c r="C42" s="16" t="s">
        <v>66</v>
      </c>
      <c r="D42" s="16">
        <f>+D41*D38</f>
        <v>4.449102956875179</v>
      </c>
    </row>
    <row r="44" spans="2:7" ht="15" x14ac:dyDescent="0.25">
      <c r="B44" t="s">
        <v>57</v>
      </c>
      <c r="C44" s="34" t="s">
        <v>25</v>
      </c>
      <c r="D44" s="4">
        <f>+E18</f>
        <v>1224582.8042045208</v>
      </c>
      <c r="E44" t="s">
        <v>73</v>
      </c>
      <c r="F44">
        <f>+D44*D41</f>
        <v>186.13639030583846</v>
      </c>
    </row>
    <row r="45" spans="2:7" ht="15" x14ac:dyDescent="0.25">
      <c r="B45" t="s">
        <v>55</v>
      </c>
      <c r="C45" s="16" t="s">
        <v>25</v>
      </c>
      <c r="D45" s="4">
        <f>+E18-O18</f>
        <v>1195312.3592035577</v>
      </c>
      <c r="E45" t="s">
        <v>74</v>
      </c>
      <c r="F45">
        <f>+D45*D41</f>
        <v>181.68728734896325</v>
      </c>
    </row>
    <row r="46" spans="2:7" x14ac:dyDescent="0.3">
      <c r="E46" s="16" t="s">
        <v>75</v>
      </c>
      <c r="F46" s="16">
        <f>+F44-F45</f>
        <v>4.4491029568752083</v>
      </c>
      <c r="G46" s="16" t="s">
        <v>76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opLeftCell="A10" workbookViewId="0">
      <selection activeCell="N15" sqref="N15"/>
    </sheetView>
  </sheetViews>
  <sheetFormatPr baseColWidth="10" defaultColWidth="9.109375" defaultRowHeight="14.4" x14ac:dyDescent="0.3"/>
  <cols>
    <col min="1" max="1" width="3.5546875" customWidth="1"/>
    <col min="2" max="2" width="6.5546875" customWidth="1"/>
    <col min="4" max="4" width="14.109375" customWidth="1"/>
    <col min="5" max="5" width="10.44140625" customWidth="1"/>
    <col min="6" max="6" width="10.33203125" customWidth="1"/>
    <col min="7" max="7" width="10.5546875" style="2" customWidth="1"/>
    <col min="9" max="9" width="11" customWidth="1"/>
  </cols>
  <sheetData>
    <row r="1" spans="2:10" x14ac:dyDescent="0.3">
      <c r="B1" s="20" t="s">
        <v>190</v>
      </c>
    </row>
    <row r="3" spans="2:10" ht="15" x14ac:dyDescent="0.25">
      <c r="B3" t="s">
        <v>0</v>
      </c>
    </row>
    <row r="5" spans="2:10" x14ac:dyDescent="0.3">
      <c r="B5" t="s">
        <v>15</v>
      </c>
    </row>
    <row r="6" spans="2:10" ht="15" x14ac:dyDescent="0.25">
      <c r="B6" t="s">
        <v>16</v>
      </c>
      <c r="H6">
        <f>8000/9300</f>
        <v>0.86021505376344087</v>
      </c>
    </row>
    <row r="7" spans="2:10" ht="15" x14ac:dyDescent="0.25">
      <c r="B7" s="13"/>
      <c r="C7">
        <f>195300*0.041</f>
        <v>8007.3</v>
      </c>
    </row>
    <row r="8" spans="2:10" ht="30" x14ac:dyDescent="0.25">
      <c r="C8">
        <v>2018</v>
      </c>
      <c r="G8" s="11" t="s">
        <v>8</v>
      </c>
      <c r="H8" s="16" t="s">
        <v>11</v>
      </c>
      <c r="I8" s="16"/>
      <c r="J8" s="16"/>
    </row>
    <row r="9" spans="2:10" ht="45" x14ac:dyDescent="0.25">
      <c r="C9" t="s">
        <v>1</v>
      </c>
      <c r="D9" s="1" t="s">
        <v>9</v>
      </c>
      <c r="E9" t="s">
        <v>4</v>
      </c>
      <c r="F9" t="s">
        <v>3</v>
      </c>
      <c r="G9" s="7" t="s">
        <v>5</v>
      </c>
      <c r="H9" s="1" t="s">
        <v>12</v>
      </c>
      <c r="I9" t="s">
        <v>10</v>
      </c>
      <c r="J9" t="s">
        <v>17</v>
      </c>
    </row>
    <row r="10" spans="2:10" ht="15" x14ac:dyDescent="0.25">
      <c r="C10" s="2">
        <v>1</v>
      </c>
      <c r="D10" s="2">
        <v>1739</v>
      </c>
      <c r="E10" s="4">
        <v>22645.8287285199</v>
      </c>
      <c r="F10">
        <f>+E10/1000</f>
        <v>22.645828728519902</v>
      </c>
      <c r="G10" s="8">
        <f>+D10/F10</f>
        <v>76.791183968018046</v>
      </c>
      <c r="H10" s="10">
        <f>+D10/22</f>
        <v>79.045454545454547</v>
      </c>
      <c r="I10" s="3">
        <f>+H10*0.86</f>
        <v>67.979090909090914</v>
      </c>
    </row>
    <row r="11" spans="2:10" ht="15" x14ac:dyDescent="0.25">
      <c r="C11" s="2">
        <v>2</v>
      </c>
      <c r="D11" s="2">
        <v>1479</v>
      </c>
      <c r="E11" s="4">
        <v>108781.87346426606</v>
      </c>
      <c r="F11">
        <f t="shared" ref="F11:F21" si="0">+E11/1000</f>
        <v>108.78187346426606</v>
      </c>
      <c r="G11" s="8">
        <f t="shared" ref="G11:G21" si="1">+D11/F11</f>
        <v>13.596015153074553</v>
      </c>
      <c r="H11" s="10">
        <f t="shared" ref="H11:H21" si="2">+D11/22</f>
        <v>67.227272727272734</v>
      </c>
      <c r="I11" s="3">
        <f t="shared" ref="I11:I21" si="3">+H11*0.86</f>
        <v>57.81545454545455</v>
      </c>
    </row>
    <row r="12" spans="2:10" ht="15" x14ac:dyDescent="0.25">
      <c r="C12" s="2">
        <v>3</v>
      </c>
      <c r="D12" s="2">
        <v>7169</v>
      </c>
      <c r="E12" s="4">
        <v>117479.80988016077</v>
      </c>
      <c r="F12">
        <f t="shared" si="0"/>
        <v>117.47980988016077</v>
      </c>
      <c r="G12" s="8">
        <f t="shared" si="1"/>
        <v>61.023251632029194</v>
      </c>
      <c r="H12" s="10">
        <f t="shared" si="2"/>
        <v>325.86363636363637</v>
      </c>
      <c r="I12" s="3">
        <f t="shared" si="3"/>
        <v>280.24272727272728</v>
      </c>
    </row>
    <row r="13" spans="2:10" ht="15" x14ac:dyDescent="0.25">
      <c r="C13" s="2">
        <v>4</v>
      </c>
      <c r="D13" s="2">
        <v>5901</v>
      </c>
      <c r="E13" s="4">
        <v>87175.672894179734</v>
      </c>
      <c r="F13">
        <f t="shared" si="0"/>
        <v>87.175672894179741</v>
      </c>
      <c r="G13" s="8">
        <f t="shared" si="1"/>
        <v>67.690902795359762</v>
      </c>
      <c r="H13" s="10">
        <f t="shared" si="2"/>
        <v>268.22727272727275</v>
      </c>
      <c r="I13" s="3">
        <f t="shared" si="3"/>
        <v>230.67545454545456</v>
      </c>
    </row>
    <row r="14" spans="2:10" ht="15" x14ac:dyDescent="0.25">
      <c r="C14" s="2">
        <v>5</v>
      </c>
      <c r="D14" s="2">
        <v>3560</v>
      </c>
      <c r="E14" s="4">
        <v>147029.30657832726</v>
      </c>
      <c r="F14">
        <f t="shared" si="0"/>
        <v>147.02930657832727</v>
      </c>
      <c r="G14" s="8">
        <f t="shared" si="1"/>
        <v>24.212859890646854</v>
      </c>
      <c r="H14" s="10">
        <f t="shared" si="2"/>
        <v>161.81818181818181</v>
      </c>
      <c r="I14" s="3">
        <f t="shared" si="3"/>
        <v>139.16363636363636</v>
      </c>
    </row>
    <row r="15" spans="2:10" ht="15" x14ac:dyDescent="0.25">
      <c r="C15" s="2">
        <v>6</v>
      </c>
      <c r="D15" s="2">
        <v>5041</v>
      </c>
      <c r="E15" s="4">
        <v>77028.961214718613</v>
      </c>
      <c r="F15">
        <f t="shared" si="0"/>
        <v>77.028961214718606</v>
      </c>
      <c r="G15" s="8">
        <f t="shared" si="1"/>
        <v>65.442918098664052</v>
      </c>
      <c r="H15" s="10">
        <f t="shared" si="2"/>
        <v>229.13636363636363</v>
      </c>
      <c r="I15" s="3">
        <f t="shared" si="3"/>
        <v>197.0572727272727</v>
      </c>
    </row>
    <row r="16" spans="2:10" ht="15" x14ac:dyDescent="0.25">
      <c r="C16" s="2">
        <v>7</v>
      </c>
      <c r="D16" s="2">
        <v>3778</v>
      </c>
      <c r="E16" s="4">
        <v>72821.428564970658</v>
      </c>
      <c r="F16">
        <f t="shared" si="0"/>
        <v>72.82142856497066</v>
      </c>
      <c r="G16" s="8">
        <f t="shared" si="1"/>
        <v>51.880333501412984</v>
      </c>
      <c r="H16" s="10">
        <f t="shared" si="2"/>
        <v>171.72727272727272</v>
      </c>
      <c r="I16" s="3">
        <f t="shared" si="3"/>
        <v>147.68545454545455</v>
      </c>
    </row>
    <row r="17" spans="3:10" ht="15" x14ac:dyDescent="0.25">
      <c r="C17" s="2">
        <v>8</v>
      </c>
      <c r="D17" s="2">
        <v>4554</v>
      </c>
      <c r="E17" s="4">
        <v>63276.001591968532</v>
      </c>
      <c r="F17">
        <f t="shared" si="0"/>
        <v>63.27600159196853</v>
      </c>
      <c r="G17" s="8">
        <f t="shared" si="1"/>
        <v>71.970413512633016</v>
      </c>
      <c r="H17" s="10">
        <f t="shared" si="2"/>
        <v>207</v>
      </c>
      <c r="I17" s="3">
        <f t="shared" si="3"/>
        <v>178.02</v>
      </c>
    </row>
    <row r="18" spans="3:10" ht="15" x14ac:dyDescent="0.25">
      <c r="C18" s="2">
        <v>9</v>
      </c>
      <c r="D18" s="2">
        <v>1019</v>
      </c>
      <c r="E18" s="4">
        <v>136837.13637492876</v>
      </c>
      <c r="F18">
        <f t="shared" si="0"/>
        <v>136.83713637492875</v>
      </c>
      <c r="G18" s="8">
        <f t="shared" si="1"/>
        <v>7.4468088634066216</v>
      </c>
      <c r="H18" s="10">
        <f t="shared" si="2"/>
        <v>46.31818181818182</v>
      </c>
      <c r="I18" s="3">
        <f t="shared" si="3"/>
        <v>39.833636363636366</v>
      </c>
    </row>
    <row r="19" spans="3:10" ht="15" x14ac:dyDescent="0.25">
      <c r="C19" s="2">
        <v>10</v>
      </c>
      <c r="D19" s="2">
        <v>2653</v>
      </c>
      <c r="E19" s="4">
        <v>57572.180541783135</v>
      </c>
      <c r="F19">
        <f t="shared" si="0"/>
        <v>57.572180541783133</v>
      </c>
      <c r="G19" s="8">
        <f t="shared" si="1"/>
        <v>46.081283964476206</v>
      </c>
      <c r="H19" s="10">
        <f t="shared" si="2"/>
        <v>120.59090909090909</v>
      </c>
      <c r="I19" s="3">
        <f t="shared" si="3"/>
        <v>103.70818181818181</v>
      </c>
    </row>
    <row r="20" spans="3:10" ht="15" x14ac:dyDescent="0.25">
      <c r="C20" s="2">
        <v>11</v>
      </c>
      <c r="D20" s="2">
        <v>1810</v>
      </c>
      <c r="E20" s="4">
        <v>130378.69699206151</v>
      </c>
      <c r="F20">
        <f t="shared" si="0"/>
        <v>130.37869699206152</v>
      </c>
      <c r="G20" s="8">
        <f t="shared" si="1"/>
        <v>13.882636057562433</v>
      </c>
      <c r="H20" s="10">
        <f t="shared" si="2"/>
        <v>82.272727272727266</v>
      </c>
      <c r="I20" s="3">
        <f t="shared" si="3"/>
        <v>70.75454545454545</v>
      </c>
    </row>
    <row r="21" spans="3:10" ht="15" x14ac:dyDescent="0.25">
      <c r="C21" s="2">
        <v>12</v>
      </c>
      <c r="D21" s="2">
        <v>2791</v>
      </c>
      <c r="E21" s="4">
        <v>38069.63323594621</v>
      </c>
      <c r="F21">
        <f t="shared" si="0"/>
        <v>38.069633235946213</v>
      </c>
      <c r="G21" s="8">
        <f t="shared" si="1"/>
        <v>73.313025704820149</v>
      </c>
      <c r="H21" s="10">
        <f t="shared" si="2"/>
        <v>126.86363636363636</v>
      </c>
      <c r="I21" s="3">
        <f t="shared" si="3"/>
        <v>109.10272727272726</v>
      </c>
    </row>
    <row r="22" spans="3:10" ht="15" x14ac:dyDescent="0.25">
      <c r="C22" t="s">
        <v>2</v>
      </c>
      <c r="D22" s="2">
        <f>SUM(D10:D21)</f>
        <v>41494</v>
      </c>
      <c r="E22" s="2">
        <f>SUM(E10:E21)</f>
        <v>1059096.5300618312</v>
      </c>
      <c r="F22" s="36">
        <f>SUM(F10:F21)</f>
        <v>1059.0965300618311</v>
      </c>
      <c r="G22" s="14">
        <f>+D22/F22</f>
        <v>39.178676185047586</v>
      </c>
      <c r="I22" s="17">
        <f>SUM(I10:I21)</f>
        <v>1622.0381818181816</v>
      </c>
      <c r="J22" s="15">
        <f>+(D22-I22)/F22</f>
        <v>37.647146115995724</v>
      </c>
    </row>
    <row r="24" spans="3:10" x14ac:dyDescent="0.3">
      <c r="C24" t="s">
        <v>6</v>
      </c>
      <c r="I24">
        <f>39.18*0.96</f>
        <v>37.6128</v>
      </c>
    </row>
    <row r="25" spans="3:10" ht="15" x14ac:dyDescent="0.25">
      <c r="G25" s="2">
        <f>21*9300</f>
        <v>195300</v>
      </c>
    </row>
    <row r="26" spans="3:10" ht="15.75" thickBot="1" x14ac:dyDescent="0.3"/>
    <row r="27" spans="3:10" ht="30.75" thickBot="1" x14ac:dyDescent="0.3">
      <c r="C27" s="5" t="s">
        <v>7</v>
      </c>
      <c r="D27" s="5" t="s">
        <v>13</v>
      </c>
      <c r="F27" s="18" t="s">
        <v>19</v>
      </c>
      <c r="G27" s="19">
        <v>32.6</v>
      </c>
    </row>
    <row r="28" spans="3:10" ht="15.75" thickBot="1" x14ac:dyDescent="0.3">
      <c r="C28" s="12">
        <v>43070</v>
      </c>
      <c r="D28" s="6">
        <v>98</v>
      </c>
      <c r="E28" t="s">
        <v>21</v>
      </c>
      <c r="F28" s="20" t="s">
        <v>18</v>
      </c>
      <c r="G28" s="21">
        <v>30.42</v>
      </c>
    </row>
    <row r="29" spans="3:10" ht="15.75" thickBot="1" x14ac:dyDescent="0.3">
      <c r="C29" s="12">
        <v>43101</v>
      </c>
      <c r="D29" s="6">
        <v>104</v>
      </c>
      <c r="F29" s="20" t="s">
        <v>20</v>
      </c>
      <c r="G29" s="7">
        <f>+G28/G27</f>
        <v>0.93312883435582827</v>
      </c>
    </row>
    <row r="30" spans="3:10" ht="15.75" thickBot="1" x14ac:dyDescent="0.3">
      <c r="C30" s="12">
        <v>43132</v>
      </c>
      <c r="D30" s="6">
        <v>158</v>
      </c>
    </row>
    <row r="31" spans="3:10" ht="29.4" thickBot="1" x14ac:dyDescent="0.35">
      <c r="C31" s="12">
        <v>43160</v>
      </c>
      <c r="D31" s="6">
        <v>192</v>
      </c>
      <c r="F31" s="22" t="s">
        <v>22</v>
      </c>
      <c r="G31" s="23">
        <f>+G29*I22</f>
        <v>1513.5705978806468</v>
      </c>
    </row>
    <row r="32" spans="3:10" ht="15.75" thickBot="1" x14ac:dyDescent="0.3">
      <c r="C32" s="12">
        <v>43191</v>
      </c>
      <c r="D32" s="6">
        <v>163</v>
      </c>
    </row>
    <row r="33" spans="3:6" ht="15.75" thickBot="1" x14ac:dyDescent="0.3">
      <c r="C33" s="12">
        <v>43221</v>
      </c>
      <c r="D33" s="6">
        <v>239</v>
      </c>
    </row>
    <row r="34" spans="3:6" ht="15.75" thickBot="1" x14ac:dyDescent="0.3">
      <c r="C34" s="12">
        <v>43252</v>
      </c>
      <c r="D34" s="6">
        <v>273</v>
      </c>
    </row>
    <row r="35" spans="3:6" ht="15.75" thickBot="1" x14ac:dyDescent="0.3">
      <c r="C35" s="12">
        <v>43282</v>
      </c>
      <c r="D35" s="6">
        <v>143</v>
      </c>
    </row>
    <row r="36" spans="3:6" ht="15.75" thickBot="1" x14ac:dyDescent="0.3">
      <c r="C36" s="12">
        <v>43313</v>
      </c>
      <c r="D36" s="6">
        <v>135</v>
      </c>
    </row>
    <row r="37" spans="3:6" ht="15.75" thickBot="1" x14ac:dyDescent="0.3">
      <c r="C37" s="6" t="s">
        <v>14</v>
      </c>
      <c r="D37" s="6">
        <v>131</v>
      </c>
    </row>
    <row r="38" spans="3:6" ht="15.75" thickBot="1" x14ac:dyDescent="0.3">
      <c r="C38" s="12">
        <v>43374</v>
      </c>
      <c r="D38" s="6">
        <v>121</v>
      </c>
    </row>
    <row r="39" spans="3:6" ht="15.75" thickBot="1" x14ac:dyDescent="0.3">
      <c r="C39" s="12">
        <v>43405</v>
      </c>
      <c r="D39" s="6">
        <v>68</v>
      </c>
    </row>
    <row r="40" spans="3:6" ht="15.75" thickBot="1" x14ac:dyDescent="0.3">
      <c r="C40" s="12">
        <v>43435</v>
      </c>
      <c r="D40" s="6">
        <v>77</v>
      </c>
    </row>
    <row r="42" spans="3:6" ht="15" x14ac:dyDescent="0.25">
      <c r="C42" t="s">
        <v>23</v>
      </c>
    </row>
    <row r="43" spans="3:6" ht="15" x14ac:dyDescent="0.25">
      <c r="D43" s="16" t="s">
        <v>10</v>
      </c>
      <c r="E43" s="16">
        <v>1622</v>
      </c>
    </row>
    <row r="44" spans="3:6" ht="15" x14ac:dyDescent="0.25">
      <c r="D44" s="34" t="s">
        <v>58</v>
      </c>
      <c r="E44" s="34">
        <f>0.83/1000</f>
        <v>8.3000000000000001E-4</v>
      </c>
      <c r="F44" t="s">
        <v>59</v>
      </c>
    </row>
    <row r="45" spans="3:6" ht="15" x14ac:dyDescent="0.25">
      <c r="D45" s="34" t="s">
        <v>60</v>
      </c>
      <c r="E45" s="34">
        <v>2.35</v>
      </c>
      <c r="F45" t="s">
        <v>59</v>
      </c>
    </row>
    <row r="46" spans="3:6" ht="15" x14ac:dyDescent="0.25">
      <c r="D46" s="34" t="s">
        <v>61</v>
      </c>
      <c r="E46" s="34">
        <f>+E44*E45</f>
        <v>1.9505000000000002E-3</v>
      </c>
    </row>
    <row r="47" spans="3:6" ht="15" x14ac:dyDescent="0.25">
      <c r="D47" s="16" t="s">
        <v>62</v>
      </c>
      <c r="E47" s="15">
        <f>+E43*E46</f>
        <v>3.1637110000000002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DE INDICADOR AMBIENTAL </vt:lpstr>
      <vt:lpstr>LISTADO </vt:lpstr>
      <vt:lpstr>EJEMPLO KWH-AISLACION CUBA</vt:lpstr>
      <vt:lpstr>EJEMPLO GAS -CALDERETA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2022-11-30T00:19:09Z</dcterms:modified>
</cp:coreProperties>
</file>