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IO\FI\Curso Mercados Eléctricos_2019_2021_2023\2023\Presentaciones\Alfredo\"/>
    </mc:Choice>
  </mc:AlternateContent>
  <xr:revisionPtr revIDLastSave="0" documentId="8_{ACA348B9-FE2D-488C-9147-B73356F4D1E1}" xr6:coauthVersionLast="47" xr6:coauthVersionMax="47" xr10:uidLastSave="{00000000-0000-0000-0000-000000000000}"/>
  <bookViews>
    <workbookView xWindow="-120" yWindow="-120" windowWidth="20730" windowHeight="11040" xr2:uid="{ECD5BB2F-6796-4EC3-A4C9-5D4AFD34DCCB}"/>
  </bookViews>
  <sheets>
    <sheet name="Comparación" sheetId="1" r:id="rId1"/>
    <sheet name="Pliego" sheetId="2" r:id="rId2"/>
    <sheet name="Energía" sheetId="3" r:id="rId3"/>
    <sheet name="Respal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" l="1"/>
  <c r="C27" i="4"/>
  <c r="J8" i="4"/>
  <c r="E11" i="3"/>
  <c r="F21" i="2"/>
  <c r="C57" i="1"/>
  <c r="D50" i="1" s="1"/>
  <c r="C54" i="1"/>
  <c r="C56" i="1" s="1"/>
  <c r="D51" i="1"/>
  <c r="E35" i="1" s="1"/>
  <c r="D49" i="1"/>
  <c r="E11" i="1" s="1"/>
  <c r="I40" i="1"/>
  <c r="H39" i="1"/>
  <c r="I39" i="1" s="1"/>
  <c r="Q36" i="1"/>
  <c r="P36" i="1"/>
  <c r="D36" i="1"/>
  <c r="E33" i="1"/>
  <c r="Q31" i="1"/>
  <c r="P31" i="1"/>
  <c r="P29" i="1"/>
  <c r="P32" i="1" s="1"/>
  <c r="I18" i="1"/>
  <c r="R17" i="1"/>
  <c r="H17" i="1"/>
  <c r="I17" i="1" s="1"/>
  <c r="Q14" i="1"/>
  <c r="P14" i="1"/>
  <c r="D14" i="1"/>
  <c r="E13" i="1"/>
  <c r="Q9" i="1"/>
  <c r="P9" i="1"/>
  <c r="P7" i="1"/>
  <c r="Q7" i="1" s="1"/>
  <c r="P43" i="1" l="1"/>
  <c r="E34" i="1"/>
  <c r="H38" i="1" s="1"/>
  <c r="E12" i="1"/>
  <c r="E14" i="1" s="1"/>
  <c r="Q29" i="1"/>
  <c r="E17" i="1" l="1"/>
  <c r="J18" i="1"/>
  <c r="R14" i="1"/>
  <c r="Q17" i="1"/>
  <c r="P17" i="1" s="1"/>
  <c r="P8" i="1"/>
  <c r="R7" i="1"/>
  <c r="R9" i="1"/>
  <c r="J17" i="1"/>
  <c r="I38" i="1"/>
  <c r="H41" i="1"/>
  <c r="H16" i="1"/>
  <c r="E36" i="1"/>
  <c r="R29" i="1"/>
  <c r="Q32" i="1"/>
  <c r="R32" i="1" s="1"/>
  <c r="J40" i="1" l="1"/>
  <c r="Q39" i="1"/>
  <c r="E39" i="1"/>
  <c r="R36" i="1"/>
  <c r="R31" i="1"/>
  <c r="J39" i="1"/>
  <c r="I16" i="1"/>
  <c r="J16" i="1" s="1"/>
  <c r="H19" i="1"/>
  <c r="I41" i="1"/>
  <c r="J41" i="1" s="1"/>
  <c r="P44" i="1"/>
  <c r="P45" i="1" s="1"/>
  <c r="J38" i="1"/>
  <c r="P10" i="1"/>
  <c r="Q8" i="1"/>
  <c r="R8" i="1" l="1"/>
  <c r="Q10" i="1"/>
  <c r="R10" i="1" s="1"/>
  <c r="R39" i="1"/>
  <c r="P39" i="1"/>
  <c r="P41" i="1" s="1"/>
  <c r="Q41" i="1" s="1"/>
  <c r="R41" i="1" s="1"/>
  <c r="P19" i="1"/>
  <c r="Q19" i="1" s="1"/>
  <c r="R19" i="1" s="1"/>
  <c r="P21" i="1"/>
  <c r="I19" i="1"/>
  <c r="J19" i="1" s="1"/>
  <c r="P22" i="1"/>
  <c r="P23" i="1" s="1"/>
</calcChain>
</file>

<file path=xl/sharedStrings.xml><?xml version="1.0" encoding="utf-8"?>
<sst xmlns="http://schemas.openxmlformats.org/spreadsheetml/2006/main" count="248" uniqueCount="163">
  <si>
    <t>Comparo de costo mensual</t>
  </si>
  <si>
    <t>Tipo cambio</t>
  </si>
  <si>
    <t>Costo mensual regulado (suscritor de UTE)</t>
  </si>
  <si>
    <t>Costo mensual compra libre en MMEE</t>
  </si>
  <si>
    <t>Cliente</t>
  </si>
  <si>
    <t>GC2</t>
  </si>
  <si>
    <t xml:space="preserve"> </t>
  </si>
  <si>
    <t>Costo mensual</t>
  </si>
  <si>
    <t>Monómico</t>
  </si>
  <si>
    <t>Tensión conexión (kV)</t>
  </si>
  <si>
    <t>Energía</t>
  </si>
  <si>
    <t>Potencia</t>
  </si>
  <si>
    <t>Cargos unitarios red (Dec. 399 de 2022)</t>
  </si>
  <si>
    <t>($/mes)</t>
  </si>
  <si>
    <t>(USD/mes)</t>
  </si>
  <si>
    <t>(USD/MWh)</t>
  </si>
  <si>
    <t>Potencia cont máx (kW)</t>
  </si>
  <si>
    <t>Tarifa unitaria UTE</t>
  </si>
  <si>
    <t>($/kWh)</t>
  </si>
  <si>
    <t>($/kW.mes)</t>
  </si>
  <si>
    <t>Punta ($/kW.mes)</t>
  </si>
  <si>
    <t xml:space="preserve">Cargo peaje  </t>
  </si>
  <si>
    <t>Punta</t>
  </si>
  <si>
    <t>Llano ($/kW.mes)</t>
  </si>
  <si>
    <t>Cargo pérdidas</t>
  </si>
  <si>
    <t>Pot cont</t>
  </si>
  <si>
    <t>Consumo energía</t>
  </si>
  <si>
    <t>Llano</t>
  </si>
  <si>
    <t>Valle ($/kW.mes)</t>
  </si>
  <si>
    <t>Cargo fijo red</t>
  </si>
  <si>
    <t>Parámetros de consumo</t>
  </si>
  <si>
    <t>(kW)</t>
  </si>
  <si>
    <t>Fact carga</t>
  </si>
  <si>
    <t>(MWh/mes)</t>
  </si>
  <si>
    <t>Valle</t>
  </si>
  <si>
    <t>Cargo pérdidas ($/kWh)</t>
  </si>
  <si>
    <t xml:space="preserve">Cargo total red </t>
  </si>
  <si>
    <t>Cargo fijo ($/mes)</t>
  </si>
  <si>
    <t>Costo MMEE respaldo</t>
  </si>
  <si>
    <t>(USD/kW_mes)</t>
  </si>
  <si>
    <t>Total</t>
  </si>
  <si>
    <t>Precio referencia PF</t>
  </si>
  <si>
    <t>Costo respaldo PF</t>
  </si>
  <si>
    <t>Costo</t>
  </si>
  <si>
    <t>factor de carga sobre P máx contratada</t>
  </si>
  <si>
    <t>(MWH/año)</t>
  </si>
  <si>
    <t>Costo MMEE  energía</t>
  </si>
  <si>
    <t>Precio contrato o spot</t>
  </si>
  <si>
    <t>Costo energía</t>
  </si>
  <si>
    <t>Cargo fijo</t>
  </si>
  <si>
    <t xml:space="preserve">Costo total </t>
  </si>
  <si>
    <t>Costo total (1+2+3)</t>
  </si>
  <si>
    <t>Costo red+respaldo</t>
  </si>
  <si>
    <t>Diferencia con UTE</t>
  </si>
  <si>
    <t>Valor E  indiferencia</t>
  </si>
  <si>
    <t>GC3</t>
  </si>
  <si>
    <t>Constantes</t>
  </si>
  <si>
    <t>(h/día)</t>
  </si>
  <si>
    <t>(h/mes)</t>
  </si>
  <si>
    <t xml:space="preserve">Horas Punta </t>
  </si>
  <si>
    <t>Horas Llano</t>
  </si>
  <si>
    <t>Horas Valle</t>
  </si>
  <si>
    <t>Dias del año</t>
  </si>
  <si>
    <t>Horas del día</t>
  </si>
  <si>
    <t>Horas del año</t>
  </si>
  <si>
    <t>Meses del año</t>
  </si>
  <si>
    <t>Horas mes medio</t>
  </si>
  <si>
    <t>Dias mes medio</t>
  </si>
  <si>
    <t>Pliego tarifarios de UTE (enero de 2023)</t>
  </si>
  <si>
    <t>Horas</t>
  </si>
  <si>
    <t>Inicio</t>
  </si>
  <si>
    <t>Final</t>
  </si>
  <si>
    <t>Duración</t>
  </si>
  <si>
    <t>Nivel de tensión (kW)</t>
  </si>
  <si>
    <t>Potencia contratada</t>
  </si>
  <si>
    <t>P cont Punta</t>
  </si>
  <si>
    <t>&lt; o =</t>
  </si>
  <si>
    <t>P cont Llano</t>
  </si>
  <si>
    <t>P cont Valle</t>
  </si>
  <si>
    <t>Spot</t>
  </si>
  <si>
    <t>Web de ADME</t>
  </si>
  <si>
    <t>Previsión de generación por fuente</t>
  </si>
  <si>
    <t>Variables en largo plazo</t>
  </si>
  <si>
    <t>Demanda</t>
  </si>
  <si>
    <t>Pronóstico 16 hs precio spot (promedio, pe10% y pe90%)</t>
  </si>
  <si>
    <t xml:space="preserve">Oferta instalada </t>
  </si>
  <si>
    <t>Costos variables de generación y valores del agua</t>
  </si>
  <si>
    <t>Aportes hidro y disponibilidad térmicas</t>
  </si>
  <si>
    <t>Programación estacional (mayo 2023): Costo marginal esperado 61.8 USD/MWh</t>
  </si>
  <si>
    <t>Precio de combustible</t>
  </si>
  <si>
    <t>Informe anual con precio spot mensual ( 15 en agosto, 185 en diciembre)</t>
  </si>
  <si>
    <t>Importación y exportación</t>
  </si>
  <si>
    <t>Tope regulado</t>
  </si>
  <si>
    <t>MWh/año</t>
  </si>
  <si>
    <t>Comercio 2022</t>
  </si>
  <si>
    <t>Contratos</t>
  </si>
  <si>
    <t>Contratos libres</t>
  </si>
  <si>
    <t>Referencia de precio spot de largo plazo</t>
  </si>
  <si>
    <t>Costo según tecnología (LCOE: anualidad de inversión y costos operativos)</t>
  </si>
  <si>
    <t>Costos de transacción (legales entre partes y técnicos con UTE)</t>
  </si>
  <si>
    <t>Obligación de respaldo (Dec. 360/002))</t>
  </si>
  <si>
    <t>Art. 237</t>
  </si>
  <si>
    <t>Requerimiento previsto de Garantía de Suministro (Informe anual de ADME)</t>
  </si>
  <si>
    <t xml:space="preserve">Oferta de PF en el MMEE </t>
  </si>
  <si>
    <t>Pot firme</t>
  </si>
  <si>
    <t>Potencia Firme de Largo Plazo (PFLP)</t>
  </si>
  <si>
    <t>Art. 239</t>
  </si>
  <si>
    <t>Seguro de GdS, 70% del requerimiento</t>
  </si>
  <si>
    <t>Térmica (CL, gas, biomasa)</t>
  </si>
  <si>
    <t>Art. 242</t>
  </si>
  <si>
    <t>Contrato de suministro para siguiente año,  obligación 50% del requerimiento, si no</t>
  </si>
  <si>
    <t>Hidro (Rnegro y SGrande)</t>
  </si>
  <si>
    <t>Art. 249</t>
  </si>
  <si>
    <t>Faltante cubierto con contratos de Reserva Anual</t>
  </si>
  <si>
    <t>RNC (eólica y solar FV)</t>
  </si>
  <si>
    <t>Servicio mensual</t>
  </si>
  <si>
    <t>Art. 266</t>
  </si>
  <si>
    <t>Requerimiento real</t>
  </si>
  <si>
    <t>Art. 274</t>
  </si>
  <si>
    <t>Subasta para asignar la potencia de PF ofertada</t>
  </si>
  <si>
    <t>Resto</t>
  </si>
  <si>
    <t>Art. 275</t>
  </si>
  <si>
    <t>Pago de faltantes de respaldo (balance mensualde PF)</t>
  </si>
  <si>
    <t>Art. 333</t>
  </si>
  <si>
    <t>Precio de referencia de PF</t>
  </si>
  <si>
    <t>Precio de referencia (URSEA 2017)</t>
  </si>
  <si>
    <t>Costo unidad generador de punta (usd/kW)</t>
  </si>
  <si>
    <t>Años de vida útil</t>
  </si>
  <si>
    <t>Tasa costo capital (WACC)</t>
  </si>
  <si>
    <t>Costo de capital anual (usd/kW.año)</t>
  </si>
  <si>
    <t>Costo operación y mant (usd/kW.año)</t>
  </si>
  <si>
    <t>Costo anual (usd/kW.año)</t>
  </si>
  <si>
    <t>Indisponibilidad</t>
  </si>
  <si>
    <t>Pago anual  (usd/kW.año)</t>
  </si>
  <si>
    <t>Pago mensual  (usd/kW.mes)</t>
  </si>
  <si>
    <t>Generador</t>
  </si>
  <si>
    <t>Addicionales</t>
  </si>
  <si>
    <t>WACC</t>
  </si>
  <si>
    <t>Potencia (MW)</t>
  </si>
  <si>
    <t>Respuestos iniciales</t>
  </si>
  <si>
    <t>Tasa libre de riesgo</t>
  </si>
  <si>
    <t>Costo compra (MMusd)</t>
  </si>
  <si>
    <t>Transporte y seguro marítimo</t>
  </si>
  <si>
    <t>Tasa retorno USA</t>
  </si>
  <si>
    <t>Costo adicionales (MMusd)</t>
  </si>
  <si>
    <t>Gastos internación</t>
  </si>
  <si>
    <t>Relacón deuda y capital propio (beta)</t>
  </si>
  <si>
    <t>Costo total (MMusd)</t>
  </si>
  <si>
    <t>Transporte local</t>
  </si>
  <si>
    <t>Prima por riesgo país</t>
  </si>
  <si>
    <t>Factor de corrección de la potencia</t>
  </si>
  <si>
    <t>Terreno</t>
  </si>
  <si>
    <t>Riesgo específico</t>
  </si>
  <si>
    <t>Instalación y montaje</t>
  </si>
  <si>
    <t>Inflación USA</t>
  </si>
  <si>
    <t>Costo fijo anual / costo compra</t>
  </si>
  <si>
    <t>Obra civil</t>
  </si>
  <si>
    <t>Costo fijo anual (MMusd)</t>
  </si>
  <si>
    <t>Pruebas puesta en marcha</t>
  </si>
  <si>
    <t>Conexión eléctrica</t>
  </si>
  <si>
    <t>Interses intercalarios</t>
  </si>
  <si>
    <t>Personal</t>
  </si>
  <si>
    <t>Repuestos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</si>
</sst>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3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4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1" fontId="6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0" fillId="5" borderId="10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3" fillId="2" borderId="0" xfId="0" applyFont="1" applyFill="1"/>
    <xf numFmtId="0" fontId="0" fillId="5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9" fontId="7" fillId="2" borderId="1" xfId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4" borderId="7" xfId="0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5" fontId="3" fillId="8" borderId="1" xfId="0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3" xfId="0" applyFill="1" applyBorder="1"/>
    <xf numFmtId="0" fontId="3" fillId="9" borderId="1" xfId="0" applyFont="1" applyFill="1" applyBorder="1" applyAlignment="1">
      <alignment horizontal="left"/>
    </xf>
    <xf numFmtId="3" fontId="0" fillId="10" borderId="7" xfId="0" applyNumberForma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9" fontId="0" fillId="2" borderId="0" xfId="1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5" fillId="0" borderId="0" xfId="0" applyFont="1"/>
    <xf numFmtId="0" fontId="0" fillId="1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13" borderId="1" xfId="0" applyFill="1" applyBorder="1"/>
    <xf numFmtId="0" fontId="0" fillId="0" borderId="1" xfId="0" applyBorder="1"/>
    <xf numFmtId="0" fontId="3" fillId="0" borderId="0" xfId="0" applyFont="1"/>
    <xf numFmtId="166" fontId="0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4" borderId="1" xfId="0" applyFill="1" applyBorder="1"/>
    <xf numFmtId="0" fontId="0" fillId="3" borderId="1" xfId="0" applyFill="1" applyBorder="1"/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211841</xdr:colOff>
      <xdr:row>13</xdr:row>
      <xdr:rowOff>95529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25D88E7-EA28-4CD5-9A1A-BAEDF3E81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581025"/>
          <a:ext cx="7527041" cy="200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023B-8D70-4362-9D7F-ABDFECE353EA}">
  <dimension ref="B1:R57"/>
  <sheetViews>
    <sheetView tabSelected="1" workbookViewId="0">
      <selection activeCell="D22" sqref="D22"/>
    </sheetView>
  </sheetViews>
  <sheetFormatPr baseColWidth="10" defaultColWidth="11.42578125" defaultRowHeight="15" x14ac:dyDescent="0.25"/>
  <cols>
    <col min="1" max="1" width="4" style="1" customWidth="1"/>
    <col min="2" max="2" width="22.140625" style="1" customWidth="1"/>
    <col min="3" max="3" width="10.42578125" style="1" customWidth="1"/>
    <col min="4" max="4" width="11.7109375" style="1" customWidth="1"/>
    <col min="5" max="5" width="12.5703125" style="1" customWidth="1"/>
    <col min="6" max="6" width="6.28515625" style="1" customWidth="1"/>
    <col min="7" max="7" width="17.85546875" style="1" customWidth="1"/>
    <col min="8" max="8" width="12.5703125" style="1" customWidth="1"/>
    <col min="9" max="9" width="12" style="1" customWidth="1"/>
    <col min="10" max="10" width="11.7109375" style="1" customWidth="1"/>
    <col min="11" max="11" width="7.28515625" style="1" customWidth="1"/>
    <col min="12" max="12" width="23.42578125" style="1" customWidth="1"/>
    <col min="13" max="13" width="14.28515625" style="1" customWidth="1"/>
    <col min="14" max="14" width="6.5703125" style="1" customWidth="1"/>
    <col min="15" max="15" width="18.5703125" style="1" customWidth="1"/>
    <col min="16" max="16" width="11.42578125" style="1"/>
    <col min="17" max="17" width="10.28515625" style="1" customWidth="1"/>
    <col min="18" max="16384" width="11.42578125" style="1"/>
  </cols>
  <sheetData>
    <row r="1" spans="2:18" ht="18.75" x14ac:dyDescent="0.3">
      <c r="B1" s="2" t="s">
        <v>0</v>
      </c>
    </row>
    <row r="2" spans="2:18" x14ac:dyDescent="0.25">
      <c r="D2" s="3" t="s">
        <v>1</v>
      </c>
      <c r="E2" s="4">
        <v>40</v>
      </c>
    </row>
    <row r="4" spans="2:18" ht="15.75" x14ac:dyDescent="0.25">
      <c r="G4" s="5" t="s">
        <v>2</v>
      </c>
      <c r="H4" s="6"/>
      <c r="I4" s="6"/>
      <c r="J4" s="7"/>
      <c r="L4" s="5" t="s">
        <v>3</v>
      </c>
      <c r="M4" s="6"/>
      <c r="N4" s="6"/>
      <c r="O4" s="6"/>
      <c r="P4" s="6"/>
      <c r="Q4" s="6"/>
      <c r="R4" s="7"/>
    </row>
    <row r="5" spans="2:18" ht="15.75" x14ac:dyDescent="0.25">
      <c r="B5" s="8" t="s">
        <v>4</v>
      </c>
      <c r="C5" s="9" t="s">
        <v>5</v>
      </c>
      <c r="D5" s="10" t="s">
        <v>6</v>
      </c>
      <c r="G5" s="11"/>
      <c r="J5" s="12"/>
      <c r="L5" s="11"/>
      <c r="P5" s="77" t="s">
        <v>7</v>
      </c>
      <c r="Q5" s="78"/>
      <c r="R5" s="13" t="s">
        <v>8</v>
      </c>
    </row>
    <row r="6" spans="2:18" x14ac:dyDescent="0.25">
      <c r="B6" s="8" t="s">
        <v>9</v>
      </c>
      <c r="C6" s="14">
        <v>6.4</v>
      </c>
      <c r="G6" s="11"/>
      <c r="H6" s="15" t="s">
        <v>10</v>
      </c>
      <c r="I6" s="15" t="s">
        <v>11</v>
      </c>
      <c r="J6" s="12"/>
      <c r="L6" s="16" t="s">
        <v>12</v>
      </c>
      <c r="P6" s="17" t="s">
        <v>13</v>
      </c>
      <c r="Q6" s="18" t="s">
        <v>14</v>
      </c>
      <c r="R6" s="19" t="s">
        <v>15</v>
      </c>
    </row>
    <row r="7" spans="2:18" x14ac:dyDescent="0.25">
      <c r="B7" s="8" t="s">
        <v>16</v>
      </c>
      <c r="C7" s="20">
        <v>1500</v>
      </c>
      <c r="G7" s="21" t="s">
        <v>17</v>
      </c>
      <c r="H7" s="22" t="s">
        <v>18</v>
      </c>
      <c r="I7" s="22" t="s">
        <v>19</v>
      </c>
      <c r="J7" s="12"/>
      <c r="L7" s="23" t="s">
        <v>20</v>
      </c>
      <c r="M7" s="24">
        <v>888.05</v>
      </c>
      <c r="O7" s="25" t="s">
        <v>21</v>
      </c>
      <c r="P7" s="26">
        <f>+(M7+M8+M9)*C7</f>
        <v>2713500</v>
      </c>
      <c r="Q7" s="26">
        <f>+P7/$E$2</f>
        <v>67837.5</v>
      </c>
      <c r="R7" s="27">
        <f>+Q7/$E$14</f>
        <v>102.54133207368918</v>
      </c>
    </row>
    <row r="8" spans="2:18" x14ac:dyDescent="0.25">
      <c r="G8" s="8" t="s">
        <v>22</v>
      </c>
      <c r="H8" s="24">
        <v>7.6139999999999999</v>
      </c>
      <c r="I8" s="24">
        <v>249.4</v>
      </c>
      <c r="J8" s="28"/>
      <c r="L8" s="23" t="s">
        <v>23</v>
      </c>
      <c r="M8" s="24">
        <v>746.37</v>
      </c>
      <c r="O8" s="29" t="s">
        <v>24</v>
      </c>
      <c r="P8" s="26">
        <f>+M10*E14*1000</f>
        <v>152159.375</v>
      </c>
      <c r="Q8" s="26">
        <f>+P8/$E$2</f>
        <v>3803.984375</v>
      </c>
      <c r="R8" s="27">
        <f>+Q8/$E$14</f>
        <v>5.75</v>
      </c>
    </row>
    <row r="9" spans="2:18" x14ac:dyDescent="0.25">
      <c r="C9" s="15" t="s">
        <v>25</v>
      </c>
      <c r="D9" s="77" t="s">
        <v>26</v>
      </c>
      <c r="E9" s="78"/>
      <c r="G9" s="8" t="s">
        <v>27</v>
      </c>
      <c r="H9" s="24">
        <v>3.855</v>
      </c>
      <c r="I9" s="24">
        <v>209.8</v>
      </c>
      <c r="J9" s="28"/>
      <c r="L9" s="23" t="s">
        <v>28</v>
      </c>
      <c r="M9" s="24">
        <v>174.58</v>
      </c>
      <c r="O9" s="25" t="s">
        <v>29</v>
      </c>
      <c r="P9" s="26">
        <f>+M11</f>
        <v>4952.78</v>
      </c>
      <c r="Q9" s="26">
        <f>+P9/$E$2</f>
        <v>123.81949999999999</v>
      </c>
      <c r="R9" s="27">
        <f>+Q9/$E$14</f>
        <v>0.18716221067548416</v>
      </c>
    </row>
    <row r="10" spans="2:18" ht="15.75" thickBot="1" x14ac:dyDescent="0.3">
      <c r="B10" s="30" t="s">
        <v>30</v>
      </c>
      <c r="C10" s="22" t="s">
        <v>31</v>
      </c>
      <c r="D10" s="31" t="s">
        <v>32</v>
      </c>
      <c r="E10" s="31" t="s">
        <v>33</v>
      </c>
      <c r="G10" s="8" t="s">
        <v>34</v>
      </c>
      <c r="H10" s="24">
        <v>2.2320000000000002</v>
      </c>
      <c r="I10" s="32">
        <v>41</v>
      </c>
      <c r="J10" s="28"/>
      <c r="L10" s="8" t="s">
        <v>35</v>
      </c>
      <c r="M10" s="33">
        <v>0.23</v>
      </c>
      <c r="N10" s="30">
        <v>1</v>
      </c>
      <c r="O10" s="34" t="s">
        <v>36</v>
      </c>
      <c r="P10" s="26">
        <f>+P7+P9+P8</f>
        <v>2870612.1549999998</v>
      </c>
      <c r="Q10" s="26">
        <f>+Q7+Q9+Q8</f>
        <v>71765.303874999998</v>
      </c>
      <c r="R10" s="27">
        <f>+Q10/$E$14</f>
        <v>108.47849428436466</v>
      </c>
    </row>
    <row r="11" spans="2:18" x14ac:dyDescent="0.25">
      <c r="B11" s="8" t="s">
        <v>22</v>
      </c>
      <c r="C11" s="35">
        <v>1500</v>
      </c>
      <c r="D11" s="36">
        <v>0.5</v>
      </c>
      <c r="E11" s="37">
        <f>$C$7*D49*D11/1000</f>
        <v>91.25</v>
      </c>
      <c r="G11" s="11"/>
      <c r="J11" s="12"/>
      <c r="L11" s="23" t="s">
        <v>37</v>
      </c>
      <c r="M11" s="38">
        <v>4952.78</v>
      </c>
      <c r="R11" s="12"/>
    </row>
    <row r="12" spans="2:18" x14ac:dyDescent="0.25">
      <c r="B12" s="8" t="s">
        <v>27</v>
      </c>
      <c r="C12" s="35">
        <v>1500</v>
      </c>
      <c r="D12" s="36">
        <v>0.8</v>
      </c>
      <c r="E12" s="37">
        <f t="shared" ref="E12:E13" si="0">$C$7*D50*D12/1000</f>
        <v>474.5</v>
      </c>
      <c r="G12" s="23" t="s">
        <v>37</v>
      </c>
      <c r="H12" s="38">
        <v>7325</v>
      </c>
      <c r="I12" s="39"/>
      <c r="J12" s="40"/>
      <c r="L12" s="11"/>
      <c r="R12" s="12"/>
    </row>
    <row r="13" spans="2:18" x14ac:dyDescent="0.25">
      <c r="B13" s="8" t="s">
        <v>34</v>
      </c>
      <c r="C13" s="35">
        <v>1500</v>
      </c>
      <c r="D13" s="36">
        <v>0.3</v>
      </c>
      <c r="E13" s="37">
        <f t="shared" si="0"/>
        <v>95.8125</v>
      </c>
      <c r="G13" s="11"/>
      <c r="I13" s="10"/>
      <c r="J13" s="28"/>
      <c r="L13" s="21" t="s">
        <v>38</v>
      </c>
      <c r="M13" s="18" t="s">
        <v>39</v>
      </c>
      <c r="R13" s="12"/>
    </row>
    <row r="14" spans="2:18" x14ac:dyDescent="0.25">
      <c r="B14" s="1" t="s">
        <v>40</v>
      </c>
      <c r="D14" s="41">
        <f>SUMPRODUCT($C$49:$C$51,D11:D13)/24</f>
        <v>0.60416666666666663</v>
      </c>
      <c r="E14" s="37">
        <f>+E11+E12+E13</f>
        <v>661.5625</v>
      </c>
      <c r="G14" s="11"/>
      <c r="H14" s="77" t="s">
        <v>7</v>
      </c>
      <c r="I14" s="78"/>
      <c r="J14" s="13" t="s">
        <v>8</v>
      </c>
      <c r="L14" s="23" t="s">
        <v>41</v>
      </c>
      <c r="M14" s="42">
        <v>8.1999999999999993</v>
      </c>
      <c r="N14" s="30">
        <v>2</v>
      </c>
      <c r="O14" s="34" t="s">
        <v>42</v>
      </c>
      <c r="P14" s="26">
        <f>+Q14*$E$2</f>
        <v>491999.99999999994</v>
      </c>
      <c r="Q14" s="26">
        <f>+C7*M14</f>
        <v>12299.999999999998</v>
      </c>
      <c r="R14" s="27">
        <f>+Q14/$E$14</f>
        <v>18.592347661785542</v>
      </c>
    </row>
    <row r="15" spans="2:18" x14ac:dyDescent="0.25">
      <c r="G15" s="21" t="s">
        <v>43</v>
      </c>
      <c r="H15" s="17" t="s">
        <v>13</v>
      </c>
      <c r="I15" s="18" t="s">
        <v>14</v>
      </c>
      <c r="J15" s="19" t="s">
        <v>15</v>
      </c>
      <c r="L15" s="11"/>
      <c r="R15" s="12"/>
    </row>
    <row r="16" spans="2:18" x14ac:dyDescent="0.25">
      <c r="B16" s="1" t="s">
        <v>44</v>
      </c>
      <c r="E16" s="31" t="s">
        <v>45</v>
      </c>
      <c r="F16" s="10"/>
      <c r="G16" s="43" t="s">
        <v>10</v>
      </c>
      <c r="H16" s="26">
        <f>SUMPRODUCT(E11:E13,H8:H10)*1000</f>
        <v>2737828.5</v>
      </c>
      <c r="I16" s="26">
        <f>+H16/$E$2</f>
        <v>68445.712499999994</v>
      </c>
      <c r="J16" s="27">
        <f>+I16/$E$14</f>
        <v>103.4606896551724</v>
      </c>
      <c r="L16" s="21" t="s">
        <v>46</v>
      </c>
      <c r="M16" s="31" t="s">
        <v>15</v>
      </c>
      <c r="R16" s="12"/>
    </row>
    <row r="17" spans="2:18" x14ac:dyDescent="0.25">
      <c r="E17" s="44">
        <f>+E14*12</f>
        <v>7938.75</v>
      </c>
      <c r="G17" s="43" t="s">
        <v>11</v>
      </c>
      <c r="H17" s="26">
        <f>SUMPRODUCT(C11:C13,I8:I10)</f>
        <v>750300</v>
      </c>
      <c r="I17" s="26">
        <f>+H17/$E$2</f>
        <v>18757.5</v>
      </c>
      <c r="J17" s="27">
        <f>+I17/$E$14</f>
        <v>28.353330184222958</v>
      </c>
      <c r="L17" s="23" t="s">
        <v>47</v>
      </c>
      <c r="M17" s="45">
        <v>5</v>
      </c>
      <c r="N17" s="30">
        <v>3</v>
      </c>
      <c r="O17" s="34" t="s">
        <v>48</v>
      </c>
      <c r="P17" s="26">
        <f>+Q17*E2</f>
        <v>132312.5</v>
      </c>
      <c r="Q17" s="26">
        <f>+M17*E14</f>
        <v>3307.8125</v>
      </c>
      <c r="R17" s="27">
        <f>+M17</f>
        <v>5</v>
      </c>
    </row>
    <row r="18" spans="2:18" x14ac:dyDescent="0.25">
      <c r="G18" s="43" t="s">
        <v>49</v>
      </c>
      <c r="H18" s="26">
        <v>7325</v>
      </c>
      <c r="I18" s="26">
        <f>+H18/$E$2</f>
        <v>183.125</v>
      </c>
      <c r="J18" s="27">
        <f>+I18/$E$14</f>
        <v>0.27680680207841285</v>
      </c>
      <c r="L18" s="11"/>
      <c r="R18" s="12"/>
    </row>
    <row r="19" spans="2:18" x14ac:dyDescent="0.25">
      <c r="G19" s="43" t="s">
        <v>50</v>
      </c>
      <c r="H19" s="26">
        <f>+H16+H17+H18</f>
        <v>3495453.5</v>
      </c>
      <c r="I19" s="46">
        <f>+H19/$E$2</f>
        <v>87386.337499999994</v>
      </c>
      <c r="J19" s="47">
        <f>+I19/$E$14</f>
        <v>132.09082664147377</v>
      </c>
      <c r="L19" s="48"/>
      <c r="M19" s="49"/>
      <c r="N19" s="49"/>
      <c r="O19" s="50" t="s">
        <v>51</v>
      </c>
      <c r="P19" s="51">
        <f>P10+P14+P17</f>
        <v>3494924.6549999998</v>
      </c>
      <c r="Q19" s="52">
        <f>+P19/$E$2</f>
        <v>87373.116374999998</v>
      </c>
      <c r="R19" s="47">
        <f>+Q19/$E$14</f>
        <v>132.07084194615021</v>
      </c>
    </row>
    <row r="21" spans="2:18" x14ac:dyDescent="0.25">
      <c r="O21" s="53" t="s">
        <v>52</v>
      </c>
      <c r="P21" s="26">
        <f>+P10+P14</f>
        <v>3362612.1549999998</v>
      </c>
    </row>
    <row r="22" spans="2:18" x14ac:dyDescent="0.25">
      <c r="O22" s="54" t="s">
        <v>53</v>
      </c>
      <c r="P22" s="26">
        <f>+H19-P21</f>
        <v>132841.3450000002</v>
      </c>
    </row>
    <row r="23" spans="2:18" x14ac:dyDescent="0.25">
      <c r="O23" s="54" t="s">
        <v>54</v>
      </c>
      <c r="P23" s="27">
        <f>+P22/E2/E14</f>
        <v>5.0199846953235783</v>
      </c>
    </row>
    <row r="24" spans="2:18" x14ac:dyDescent="0.25">
      <c r="E24" s="55"/>
      <c r="F24" s="55"/>
    </row>
    <row r="25" spans="2:18" x14ac:dyDescent="0.25">
      <c r="E25" s="55"/>
      <c r="F25" s="55"/>
    </row>
    <row r="26" spans="2:18" ht="15.75" x14ac:dyDescent="0.25">
      <c r="G26" s="5" t="s">
        <v>2</v>
      </c>
      <c r="H26" s="6"/>
      <c r="I26" s="6"/>
      <c r="J26" s="7"/>
      <c r="L26" s="5" t="s">
        <v>3</v>
      </c>
      <c r="M26" s="6"/>
      <c r="N26" s="6"/>
      <c r="O26" s="6"/>
      <c r="P26" s="6"/>
      <c r="Q26" s="6"/>
      <c r="R26" s="7"/>
    </row>
    <row r="27" spans="2:18" ht="15.75" x14ac:dyDescent="0.25">
      <c r="B27" s="8" t="s">
        <v>4</v>
      </c>
      <c r="C27" s="9" t="s">
        <v>55</v>
      </c>
      <c r="D27" s="10" t="s">
        <v>6</v>
      </c>
      <c r="G27" s="11"/>
      <c r="J27" s="12"/>
      <c r="L27" s="11"/>
      <c r="P27" s="77" t="s">
        <v>7</v>
      </c>
      <c r="Q27" s="78"/>
      <c r="R27" s="13" t="s">
        <v>8</v>
      </c>
    </row>
    <row r="28" spans="2:18" x14ac:dyDescent="0.25">
      <c r="B28" s="8" t="s">
        <v>9</v>
      </c>
      <c r="C28" s="14">
        <v>31.5</v>
      </c>
      <c r="G28" s="11"/>
      <c r="H28" s="15" t="s">
        <v>10</v>
      </c>
      <c r="I28" s="15" t="s">
        <v>11</v>
      </c>
      <c r="J28" s="12"/>
      <c r="L28" s="16" t="s">
        <v>12</v>
      </c>
      <c r="P28" s="17" t="s">
        <v>13</v>
      </c>
      <c r="Q28" s="18" t="s">
        <v>14</v>
      </c>
      <c r="R28" s="19" t="s">
        <v>15</v>
      </c>
    </row>
    <row r="29" spans="2:18" x14ac:dyDescent="0.25">
      <c r="B29" s="8" t="s">
        <v>16</v>
      </c>
      <c r="C29" s="20">
        <v>3000</v>
      </c>
      <c r="G29" s="21" t="s">
        <v>17</v>
      </c>
      <c r="H29" s="22" t="s">
        <v>18</v>
      </c>
      <c r="I29" s="22" t="s">
        <v>19</v>
      </c>
      <c r="J29" s="12"/>
      <c r="L29" s="23" t="s">
        <v>20</v>
      </c>
      <c r="M29" s="24">
        <v>406.29</v>
      </c>
      <c r="O29" s="25" t="s">
        <v>21</v>
      </c>
      <c r="P29" s="26">
        <f>+(M29+M30+M31)*C29</f>
        <v>2287020</v>
      </c>
      <c r="Q29" s="26">
        <f>+P29/$E$2</f>
        <v>57175.5</v>
      </c>
      <c r="R29" s="27">
        <f>+Q29/$E$36</f>
        <v>43.212470477090221</v>
      </c>
    </row>
    <row r="30" spans="2:18" x14ac:dyDescent="0.25">
      <c r="G30" s="8" t="s">
        <v>22</v>
      </c>
      <c r="H30" s="24">
        <v>5.915</v>
      </c>
      <c r="I30" s="24">
        <v>233.3</v>
      </c>
      <c r="J30" s="28"/>
      <c r="L30" s="23" t="s">
        <v>23</v>
      </c>
      <c r="M30" s="24">
        <v>303.88</v>
      </c>
      <c r="O30" s="56" t="s">
        <v>24</v>
      </c>
      <c r="P30" s="26"/>
      <c r="Q30" s="26"/>
      <c r="R30" s="27"/>
    </row>
    <row r="31" spans="2:18" x14ac:dyDescent="0.25">
      <c r="C31" s="15" t="s">
        <v>25</v>
      </c>
      <c r="D31" s="77" t="s">
        <v>26</v>
      </c>
      <c r="E31" s="78"/>
      <c r="G31" s="8" t="s">
        <v>27</v>
      </c>
      <c r="H31" s="24">
        <v>3.54</v>
      </c>
      <c r="I31" s="24">
        <v>141.4</v>
      </c>
      <c r="J31" s="28"/>
      <c r="L31" s="23" t="s">
        <v>28</v>
      </c>
      <c r="M31" s="24">
        <v>52.17</v>
      </c>
      <c r="O31" s="25" t="s">
        <v>29</v>
      </c>
      <c r="P31" s="26">
        <f>+M33</f>
        <v>6108.98</v>
      </c>
      <c r="Q31" s="26">
        <f>+P31/$E$2</f>
        <v>152.72449999999998</v>
      </c>
      <c r="R31" s="27">
        <f t="shared" ref="R31:R32" si="1">+Q31/$E$36</f>
        <v>0.11542711384034009</v>
      </c>
    </row>
    <row r="32" spans="2:18" ht="15.75" thickBot="1" x14ac:dyDescent="0.3">
      <c r="B32" s="30" t="s">
        <v>30</v>
      </c>
      <c r="C32" s="22" t="s">
        <v>31</v>
      </c>
      <c r="D32" s="31" t="s">
        <v>32</v>
      </c>
      <c r="E32" s="31" t="s">
        <v>33</v>
      </c>
      <c r="G32" s="8" t="s">
        <v>34</v>
      </c>
      <c r="H32" s="24">
        <v>2.1339999999999999</v>
      </c>
      <c r="I32" s="32">
        <v>54.4</v>
      </c>
      <c r="J32" s="28"/>
      <c r="L32" s="57" t="s">
        <v>35</v>
      </c>
      <c r="M32" s="33"/>
      <c r="N32" s="30">
        <v>1</v>
      </c>
      <c r="O32" s="34" t="s">
        <v>36</v>
      </c>
      <c r="P32" s="26">
        <f>+P29+P31+P30</f>
        <v>2293128.98</v>
      </c>
      <c r="Q32" s="26">
        <f>+Q29+Q31+Q30</f>
        <v>57328.224499999997</v>
      </c>
      <c r="R32" s="27">
        <f t="shared" si="1"/>
        <v>43.327897590930561</v>
      </c>
    </row>
    <row r="33" spans="2:18" x14ac:dyDescent="0.25">
      <c r="B33" s="8" t="s">
        <v>22</v>
      </c>
      <c r="C33" s="35">
        <v>3000</v>
      </c>
      <c r="D33" s="36">
        <v>0.5</v>
      </c>
      <c r="E33" s="37">
        <f>$C$29*D49*D33/1000</f>
        <v>182.5</v>
      </c>
      <c r="G33" s="11"/>
      <c r="J33" s="12"/>
      <c r="L33" s="23" t="s">
        <v>37</v>
      </c>
      <c r="M33" s="38">
        <v>6108.98</v>
      </c>
      <c r="R33" s="12"/>
    </row>
    <row r="34" spans="2:18" x14ac:dyDescent="0.25">
      <c r="B34" s="8" t="s">
        <v>27</v>
      </c>
      <c r="C34" s="35">
        <v>3000</v>
      </c>
      <c r="D34" s="36">
        <v>0.8</v>
      </c>
      <c r="E34" s="37">
        <f t="shared" ref="E34:E35" si="2">$C$29*D50*D34/1000</f>
        <v>949</v>
      </c>
      <c r="G34" s="23" t="s">
        <v>37</v>
      </c>
      <c r="H34" s="38">
        <v>12281</v>
      </c>
      <c r="I34" s="39"/>
      <c r="J34" s="40"/>
      <c r="L34" s="11"/>
      <c r="R34" s="12"/>
    </row>
    <row r="35" spans="2:18" x14ac:dyDescent="0.25">
      <c r="B35" s="8" t="s">
        <v>34</v>
      </c>
      <c r="C35" s="35">
        <v>3000</v>
      </c>
      <c r="D35" s="36">
        <v>0.3</v>
      </c>
      <c r="E35" s="37">
        <f t="shared" si="2"/>
        <v>191.625</v>
      </c>
      <c r="G35" s="11"/>
      <c r="I35" s="10"/>
      <c r="J35" s="28"/>
      <c r="L35" s="21" t="s">
        <v>38</v>
      </c>
      <c r="M35" s="18" t="s">
        <v>39</v>
      </c>
      <c r="R35" s="12"/>
    </row>
    <row r="36" spans="2:18" x14ac:dyDescent="0.25">
      <c r="B36" s="1" t="s">
        <v>40</v>
      </c>
      <c r="D36" s="41">
        <f>SUMPRODUCT($C$49:$C$51,D33:D35)/24</f>
        <v>0.60416666666666663</v>
      </c>
      <c r="E36" s="37">
        <f>+E33+E34+E35</f>
        <v>1323.125</v>
      </c>
      <c r="G36" s="11"/>
      <c r="H36" s="77" t="s">
        <v>7</v>
      </c>
      <c r="I36" s="78"/>
      <c r="J36" s="13" t="s">
        <v>8</v>
      </c>
      <c r="L36" s="23" t="s">
        <v>41</v>
      </c>
      <c r="M36" s="42">
        <v>8.1999999999999993</v>
      </c>
      <c r="N36" s="30">
        <v>2</v>
      </c>
      <c r="O36" s="34" t="s">
        <v>42</v>
      </c>
      <c r="P36" s="26">
        <f>+Q36*$E$2</f>
        <v>983999.99999999988</v>
      </c>
      <c r="Q36" s="26">
        <f>+C29*M36</f>
        <v>24599.999999999996</v>
      </c>
      <c r="R36" s="27">
        <f t="shared" ref="R36" si="3">+Q36/$E$36</f>
        <v>18.592347661785542</v>
      </c>
    </row>
    <row r="37" spans="2:18" x14ac:dyDescent="0.25">
      <c r="G37" s="21" t="s">
        <v>43</v>
      </c>
      <c r="H37" s="17" t="s">
        <v>13</v>
      </c>
      <c r="I37" s="18" t="s">
        <v>14</v>
      </c>
      <c r="J37" s="19" t="s">
        <v>15</v>
      </c>
      <c r="L37" s="11"/>
      <c r="R37" s="12"/>
    </row>
    <row r="38" spans="2:18" x14ac:dyDescent="0.25">
      <c r="B38" s="1" t="s">
        <v>44</v>
      </c>
      <c r="E38" s="31" t="s">
        <v>45</v>
      </c>
      <c r="F38" s="10"/>
      <c r="G38" s="43" t="s">
        <v>10</v>
      </c>
      <c r="H38" s="26">
        <f>SUMPRODUCT(E33:E35,H30:H32)*1000</f>
        <v>4847875.25</v>
      </c>
      <c r="I38" s="26">
        <f>+H38/$E$2</f>
        <v>121196.88125000001</v>
      </c>
      <c r="J38" s="27">
        <f>+I38/$E$36</f>
        <v>91.598965517241382</v>
      </c>
      <c r="L38" s="21" t="s">
        <v>46</v>
      </c>
      <c r="M38" s="31" t="s">
        <v>15</v>
      </c>
      <c r="R38" s="12"/>
    </row>
    <row r="39" spans="2:18" x14ac:dyDescent="0.25">
      <c r="E39" s="44">
        <f>+E36*12</f>
        <v>15877.5</v>
      </c>
      <c r="G39" s="43" t="s">
        <v>11</v>
      </c>
      <c r="H39" s="26">
        <f>SUMPRODUCT(C33:C35,I30:I32)</f>
        <v>1287300</v>
      </c>
      <c r="I39" s="26">
        <f>+H39/$E$2</f>
        <v>32182.5</v>
      </c>
      <c r="J39" s="27">
        <f t="shared" ref="J39:J41" si="4">+I39/$E$36</f>
        <v>24.323098724610297</v>
      </c>
      <c r="L39" s="23" t="s">
        <v>47</v>
      </c>
      <c r="M39" s="45">
        <v>54.14</v>
      </c>
      <c r="N39" s="30">
        <v>3</v>
      </c>
      <c r="O39" s="34" t="s">
        <v>48</v>
      </c>
      <c r="P39" s="26">
        <f>+Q39*$E$2</f>
        <v>2865359.5</v>
      </c>
      <c r="Q39" s="26">
        <f>+M39*E36</f>
        <v>71633.987500000003</v>
      </c>
      <c r="R39" s="27">
        <f t="shared" ref="R39" si="5">+Q39/$E$36</f>
        <v>54.14</v>
      </c>
    </row>
    <row r="40" spans="2:18" x14ac:dyDescent="0.25">
      <c r="G40" s="43" t="s">
        <v>49</v>
      </c>
      <c r="H40" s="26">
        <v>7325</v>
      </c>
      <c r="I40" s="26">
        <f>+H40/$E$2</f>
        <v>183.125</v>
      </c>
      <c r="J40" s="27">
        <f t="shared" si="4"/>
        <v>0.13840340103920643</v>
      </c>
      <c r="L40" s="11"/>
      <c r="R40" s="12"/>
    </row>
    <row r="41" spans="2:18" x14ac:dyDescent="0.25">
      <c r="G41" s="43" t="s">
        <v>50</v>
      </c>
      <c r="H41" s="26">
        <f>+H38+H39+H40</f>
        <v>6142500.25</v>
      </c>
      <c r="I41" s="46">
        <f>+H41/$E$2</f>
        <v>153562.50625000001</v>
      </c>
      <c r="J41" s="47">
        <f t="shared" si="4"/>
        <v>116.06046764289088</v>
      </c>
      <c r="L41" s="48"/>
      <c r="M41" s="49"/>
      <c r="N41" s="49"/>
      <c r="O41" s="50" t="s">
        <v>51</v>
      </c>
      <c r="P41" s="51">
        <f>P32+P36+P39</f>
        <v>6142488.4800000004</v>
      </c>
      <c r="Q41" s="52">
        <f>+P41/$E$2</f>
        <v>153562.212</v>
      </c>
      <c r="R41" s="47">
        <f t="shared" ref="R41" si="6">+Q41/$E$36</f>
        <v>116.0602452527161</v>
      </c>
    </row>
    <row r="43" spans="2:18" x14ac:dyDescent="0.25">
      <c r="O43" s="53" t="s">
        <v>52</v>
      </c>
      <c r="P43" s="26">
        <f>+P32+P36</f>
        <v>3277128.98</v>
      </c>
    </row>
    <row r="44" spans="2:18" x14ac:dyDescent="0.25">
      <c r="O44" s="54" t="s">
        <v>53</v>
      </c>
      <c r="P44" s="26">
        <f>+H41-P43</f>
        <v>2865371.27</v>
      </c>
    </row>
    <row r="45" spans="2:18" x14ac:dyDescent="0.25">
      <c r="O45" s="54" t="s">
        <v>54</v>
      </c>
      <c r="P45" s="33">
        <f>+P44/E2/E36</f>
        <v>54.14022239017477</v>
      </c>
    </row>
    <row r="48" spans="2:18" x14ac:dyDescent="0.25">
      <c r="B48" s="30" t="s">
        <v>56</v>
      </c>
      <c r="C48" s="31" t="s">
        <v>57</v>
      </c>
      <c r="D48" s="31" t="s">
        <v>58</v>
      </c>
    </row>
    <row r="49" spans="2:4" x14ac:dyDescent="0.25">
      <c r="B49" s="58" t="s">
        <v>59</v>
      </c>
      <c r="C49" s="24">
        <v>4</v>
      </c>
      <c r="D49" s="27">
        <f>+C49*$C$57</f>
        <v>121.66666666666667</v>
      </c>
    </row>
    <row r="50" spans="2:4" x14ac:dyDescent="0.25">
      <c r="B50" s="58" t="s">
        <v>60</v>
      </c>
      <c r="C50" s="24">
        <v>13</v>
      </c>
      <c r="D50" s="27">
        <f>+C50*$C$57</f>
        <v>395.41666666666669</v>
      </c>
    </row>
    <row r="51" spans="2:4" x14ac:dyDescent="0.25">
      <c r="B51" s="58" t="s">
        <v>61</v>
      </c>
      <c r="C51" s="24">
        <v>7</v>
      </c>
      <c r="D51" s="27">
        <f>+C51*$C$57</f>
        <v>212.91666666666669</v>
      </c>
    </row>
    <row r="52" spans="2:4" x14ac:dyDescent="0.25">
      <c r="B52" s="58" t="s">
        <v>62</v>
      </c>
      <c r="C52" s="24">
        <v>365</v>
      </c>
    </row>
    <row r="53" spans="2:4" x14ac:dyDescent="0.25">
      <c r="B53" s="58" t="s">
        <v>63</v>
      </c>
      <c r="C53" s="24">
        <v>24</v>
      </c>
    </row>
    <row r="54" spans="2:4" x14ac:dyDescent="0.25">
      <c r="B54" s="58" t="s">
        <v>64</v>
      </c>
      <c r="C54" s="24">
        <f>+C52*C53</f>
        <v>8760</v>
      </c>
    </row>
    <row r="55" spans="2:4" x14ac:dyDescent="0.25">
      <c r="B55" s="58" t="s">
        <v>65</v>
      </c>
      <c r="C55" s="24">
        <v>12</v>
      </c>
    </row>
    <row r="56" spans="2:4" x14ac:dyDescent="0.25">
      <c r="B56" s="59" t="s">
        <v>66</v>
      </c>
      <c r="C56" s="24">
        <f>+C54/12</f>
        <v>730</v>
      </c>
    </row>
    <row r="57" spans="2:4" x14ac:dyDescent="0.25">
      <c r="B57" s="58" t="s">
        <v>67</v>
      </c>
      <c r="C57" s="27">
        <f>+C52/C55</f>
        <v>30.416666666666668</v>
      </c>
    </row>
  </sheetData>
  <mergeCells count="6">
    <mergeCell ref="H36:I36"/>
    <mergeCell ref="P5:Q5"/>
    <mergeCell ref="D9:E9"/>
    <mergeCell ref="H14:I14"/>
    <mergeCell ref="P27:Q27"/>
    <mergeCell ref="D31:E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CCE0-0ECE-4BFC-AED1-9F292D88C789}">
  <dimension ref="B2:M21"/>
  <sheetViews>
    <sheetView topLeftCell="A6" workbookViewId="0">
      <selection activeCell="H28" sqref="H28"/>
    </sheetView>
  </sheetViews>
  <sheetFormatPr baseColWidth="10" defaultColWidth="11.42578125" defaultRowHeight="15" x14ac:dyDescent="0.25"/>
  <cols>
    <col min="1" max="1" width="6.5703125" customWidth="1"/>
    <col min="2" max="2" width="6.28515625" customWidth="1"/>
  </cols>
  <sheetData>
    <row r="2" spans="2:9" ht="15.75" x14ac:dyDescent="0.25">
      <c r="B2" s="60" t="s">
        <v>68</v>
      </c>
    </row>
    <row r="16" spans="2:9" x14ac:dyDescent="0.25">
      <c r="C16" s="61" t="s">
        <v>69</v>
      </c>
      <c r="D16" s="61" t="s">
        <v>70</v>
      </c>
      <c r="E16" s="61" t="s">
        <v>71</v>
      </c>
      <c r="F16" s="61" t="s">
        <v>72</v>
      </c>
      <c r="I16" s="62" t="s">
        <v>73</v>
      </c>
    </row>
    <row r="17" spans="3:13" x14ac:dyDescent="0.25">
      <c r="C17" s="63" t="s">
        <v>22</v>
      </c>
      <c r="D17" s="63">
        <v>18</v>
      </c>
      <c r="E17" s="63">
        <v>22</v>
      </c>
      <c r="F17" s="63">
        <v>4</v>
      </c>
      <c r="I17" s="64" t="s">
        <v>5</v>
      </c>
      <c r="J17" s="63">
        <v>6.4</v>
      </c>
      <c r="K17" s="63">
        <v>15</v>
      </c>
      <c r="L17" s="63">
        <v>22</v>
      </c>
      <c r="M17" s="63"/>
    </row>
    <row r="18" spans="3:13" x14ac:dyDescent="0.25">
      <c r="C18" s="79" t="s">
        <v>27</v>
      </c>
      <c r="D18" s="63">
        <v>7</v>
      </c>
      <c r="E18" s="63">
        <v>18</v>
      </c>
      <c r="F18" s="63">
        <v>11</v>
      </c>
      <c r="I18" s="64" t="s">
        <v>55</v>
      </c>
      <c r="J18" s="63">
        <v>31.5</v>
      </c>
      <c r="K18" s="63">
        <v>63</v>
      </c>
      <c r="L18" s="63">
        <v>110</v>
      </c>
      <c r="M18" s="63">
        <v>150</v>
      </c>
    </row>
    <row r="19" spans="3:13" x14ac:dyDescent="0.25">
      <c r="C19" s="80"/>
      <c r="D19" s="63">
        <v>22</v>
      </c>
      <c r="E19" s="63">
        <v>24</v>
      </c>
      <c r="F19" s="63">
        <v>2</v>
      </c>
    </row>
    <row r="20" spans="3:13" x14ac:dyDescent="0.25">
      <c r="C20" s="63" t="s">
        <v>34</v>
      </c>
      <c r="D20" s="63">
        <v>0</v>
      </c>
      <c r="E20" s="63">
        <v>7</v>
      </c>
      <c r="F20" s="63">
        <v>7</v>
      </c>
      <c r="I20" t="s">
        <v>74</v>
      </c>
    </row>
    <row r="21" spans="3:13" x14ac:dyDescent="0.25">
      <c r="F21" s="63">
        <f>+F17+F18+F19+F20</f>
        <v>24</v>
      </c>
      <c r="I21" s="65" t="s">
        <v>75</v>
      </c>
      <c r="J21" s="63" t="s">
        <v>76</v>
      </c>
      <c r="K21" s="65" t="s">
        <v>77</v>
      </c>
      <c r="L21" s="63" t="s">
        <v>76</v>
      </c>
      <c r="M21" s="65" t="s">
        <v>78</v>
      </c>
    </row>
  </sheetData>
  <mergeCells count="1">
    <mergeCell ref="C18:C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8139-8944-4932-9EC0-90C66D89172B}">
  <dimension ref="B2:L15"/>
  <sheetViews>
    <sheetView topLeftCell="A7" workbookViewId="0">
      <selection activeCell="D22" sqref="D22"/>
    </sheetView>
  </sheetViews>
  <sheetFormatPr baseColWidth="10" defaultColWidth="9.140625" defaultRowHeight="15" x14ac:dyDescent="0.25"/>
  <cols>
    <col min="2" max="2" width="15.42578125" customWidth="1"/>
    <col min="3" max="3" width="10.5703125" customWidth="1"/>
    <col min="4" max="4" width="11.140625" customWidth="1"/>
  </cols>
  <sheetData>
    <row r="2" spans="2:12" x14ac:dyDescent="0.25">
      <c r="B2" s="66" t="s">
        <v>79</v>
      </c>
    </row>
    <row r="3" spans="2:12" x14ac:dyDescent="0.25">
      <c r="B3" s="81" t="s">
        <v>80</v>
      </c>
      <c r="C3" t="s">
        <v>81</v>
      </c>
      <c r="J3" s="66" t="s">
        <v>82</v>
      </c>
      <c r="L3" t="s">
        <v>83</v>
      </c>
    </row>
    <row r="4" spans="2:12" x14ac:dyDescent="0.25">
      <c r="B4" s="82"/>
      <c r="C4" t="s">
        <v>84</v>
      </c>
      <c r="L4" t="s">
        <v>85</v>
      </c>
    </row>
    <row r="5" spans="2:12" x14ac:dyDescent="0.25">
      <c r="B5" s="82"/>
      <c r="C5" t="s">
        <v>86</v>
      </c>
      <c r="L5" t="s">
        <v>87</v>
      </c>
    </row>
    <row r="6" spans="2:12" x14ac:dyDescent="0.25">
      <c r="B6" s="82"/>
      <c r="C6" t="s">
        <v>88</v>
      </c>
      <c r="L6" t="s">
        <v>89</v>
      </c>
    </row>
    <row r="7" spans="2:12" x14ac:dyDescent="0.25">
      <c r="B7" s="83"/>
      <c r="C7" t="s">
        <v>90</v>
      </c>
      <c r="L7" t="s">
        <v>91</v>
      </c>
    </row>
    <row r="8" spans="2:12" x14ac:dyDescent="0.25">
      <c r="L8" t="s">
        <v>92</v>
      </c>
    </row>
    <row r="9" spans="2:12" x14ac:dyDescent="0.25">
      <c r="D9" s="31" t="s">
        <v>93</v>
      </c>
    </row>
    <row r="10" spans="2:12" x14ac:dyDescent="0.25">
      <c r="B10" s="66" t="s">
        <v>94</v>
      </c>
      <c r="C10" s="65" t="s">
        <v>95</v>
      </c>
      <c r="D10" s="63">
        <v>5547234</v>
      </c>
    </row>
    <row r="11" spans="2:12" x14ac:dyDescent="0.25">
      <c r="C11" s="65" t="s">
        <v>79</v>
      </c>
      <c r="D11" s="63">
        <v>16673</v>
      </c>
      <c r="E11" s="67">
        <f>+D11/D10</f>
        <v>3.00564209117553E-3</v>
      </c>
    </row>
    <row r="12" spans="2:12" x14ac:dyDescent="0.25">
      <c r="B12" s="66" t="s">
        <v>96</v>
      </c>
    </row>
    <row r="13" spans="2:12" x14ac:dyDescent="0.25">
      <c r="B13" t="s">
        <v>97</v>
      </c>
    </row>
    <row r="14" spans="2:12" x14ac:dyDescent="0.25">
      <c r="B14" t="s">
        <v>98</v>
      </c>
    </row>
    <row r="15" spans="2:12" x14ac:dyDescent="0.25">
      <c r="B15" t="s">
        <v>99</v>
      </c>
    </row>
  </sheetData>
  <mergeCells count="1">
    <mergeCell ref="B3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095D-C76A-470E-A53E-87C637FBF1CE}">
  <dimension ref="B1:J36"/>
  <sheetViews>
    <sheetView workbookViewId="0">
      <selection activeCell="F19" sqref="F19"/>
    </sheetView>
  </sheetViews>
  <sheetFormatPr baseColWidth="10" defaultColWidth="11.42578125" defaultRowHeight="15" x14ac:dyDescent="0.25"/>
  <cols>
    <col min="1" max="1" width="6.85546875" customWidth="1"/>
    <col min="2" max="2" width="44.7109375" customWidth="1"/>
    <col min="3" max="3" width="11.85546875" customWidth="1"/>
    <col min="5" max="5" width="27.85546875" customWidth="1"/>
    <col min="6" max="6" width="5.85546875" customWidth="1"/>
    <col min="7" max="7" width="36" customWidth="1"/>
    <col min="8" max="8" width="4.42578125" customWidth="1"/>
    <col min="9" max="9" width="26.85546875" customWidth="1"/>
    <col min="10" max="10" width="9.5703125" customWidth="1"/>
    <col min="11" max="11" width="34" customWidth="1"/>
  </cols>
  <sheetData>
    <row r="1" spans="2:10" ht="18.75" x14ac:dyDescent="0.3">
      <c r="B1" s="68" t="s">
        <v>100</v>
      </c>
    </row>
    <row r="2" spans="2:10" x14ac:dyDescent="0.25">
      <c r="C2" s="63" t="s">
        <v>101</v>
      </c>
      <c r="D2" s="84" t="s">
        <v>102</v>
      </c>
      <c r="E2" s="84"/>
      <c r="F2" s="84"/>
      <c r="G2" s="84"/>
      <c r="I2" s="66" t="s">
        <v>103</v>
      </c>
      <c r="J2" s="31" t="s">
        <v>104</v>
      </c>
    </row>
    <row r="3" spans="2:10" x14ac:dyDescent="0.25">
      <c r="B3" s="66" t="s">
        <v>105</v>
      </c>
      <c r="C3" s="63" t="s">
        <v>106</v>
      </c>
      <c r="D3" s="84" t="s">
        <v>107</v>
      </c>
      <c r="E3" s="84"/>
      <c r="F3" s="84"/>
      <c r="G3" s="84"/>
      <c r="I3" s="69" t="s">
        <v>108</v>
      </c>
      <c r="J3" s="63">
        <v>1300</v>
      </c>
    </row>
    <row r="4" spans="2:10" x14ac:dyDescent="0.25">
      <c r="C4" s="63" t="s">
        <v>109</v>
      </c>
      <c r="D4" s="84" t="s">
        <v>110</v>
      </c>
      <c r="E4" s="84"/>
      <c r="F4" s="84"/>
      <c r="G4" s="84"/>
      <c r="I4" s="69" t="s">
        <v>111</v>
      </c>
      <c r="J4" s="63">
        <v>500</v>
      </c>
    </row>
    <row r="5" spans="2:10" x14ac:dyDescent="0.25">
      <c r="C5" s="63" t="s">
        <v>112</v>
      </c>
      <c r="D5" s="84" t="s">
        <v>113</v>
      </c>
      <c r="E5" s="84"/>
      <c r="F5" s="84"/>
      <c r="G5" s="84"/>
      <c r="I5" s="69" t="s">
        <v>114</v>
      </c>
      <c r="J5" s="63">
        <v>400</v>
      </c>
    </row>
    <row r="6" spans="2:10" x14ac:dyDescent="0.25">
      <c r="B6" s="66" t="s">
        <v>115</v>
      </c>
      <c r="I6" s="65" t="s">
        <v>40</v>
      </c>
      <c r="J6" s="63">
        <v>2200</v>
      </c>
    </row>
    <row r="7" spans="2:10" x14ac:dyDescent="0.25">
      <c r="C7" s="63" t="s">
        <v>116</v>
      </c>
      <c r="D7" s="84" t="s">
        <v>117</v>
      </c>
      <c r="E7" s="84"/>
      <c r="F7" s="84"/>
      <c r="G7" s="84"/>
      <c r="I7" s="70" t="s">
        <v>83</v>
      </c>
      <c r="J7" s="63">
        <v>1400</v>
      </c>
    </row>
    <row r="8" spans="2:10" x14ac:dyDescent="0.25">
      <c r="C8" s="63" t="s">
        <v>118</v>
      </c>
      <c r="D8" s="84" t="s">
        <v>119</v>
      </c>
      <c r="E8" s="84"/>
      <c r="F8" s="84"/>
      <c r="G8" s="84"/>
      <c r="I8" s="65" t="s">
        <v>120</v>
      </c>
      <c r="J8" s="63">
        <f>+J6-J7</f>
        <v>800</v>
      </c>
    </row>
    <row r="9" spans="2:10" x14ac:dyDescent="0.25">
      <c r="C9" s="63" t="s">
        <v>121</v>
      </c>
      <c r="D9" s="84" t="s">
        <v>122</v>
      </c>
      <c r="E9" s="84"/>
      <c r="F9" s="84"/>
      <c r="G9" s="84"/>
    </row>
    <row r="10" spans="2:10" x14ac:dyDescent="0.25">
      <c r="C10" s="63" t="s">
        <v>123</v>
      </c>
      <c r="D10" s="84" t="s">
        <v>124</v>
      </c>
      <c r="E10" s="84"/>
      <c r="F10" s="84"/>
      <c r="G10" s="84"/>
    </row>
    <row r="12" spans="2:10" x14ac:dyDescent="0.25">
      <c r="B12" s="66" t="s">
        <v>125</v>
      </c>
    </row>
    <row r="13" spans="2:10" x14ac:dyDescent="0.25">
      <c r="B13" s="69" t="s">
        <v>126</v>
      </c>
      <c r="C13" s="63">
        <v>602</v>
      </c>
    </row>
    <row r="14" spans="2:10" x14ac:dyDescent="0.25">
      <c r="B14" s="69" t="s">
        <v>127</v>
      </c>
      <c r="C14" s="63">
        <v>15</v>
      </c>
    </row>
    <row r="15" spans="2:10" x14ac:dyDescent="0.25">
      <c r="B15" s="69" t="s">
        <v>128</v>
      </c>
      <c r="C15" s="71">
        <v>8.3500000000000005E-2</v>
      </c>
    </row>
    <row r="16" spans="2:10" x14ac:dyDescent="0.25">
      <c r="B16" s="69" t="s">
        <v>129</v>
      </c>
      <c r="C16" s="63">
        <v>71.8</v>
      </c>
    </row>
    <row r="17" spans="2:7" x14ac:dyDescent="0.25">
      <c r="B17" s="69" t="s">
        <v>130</v>
      </c>
      <c r="C17" s="63">
        <v>16.7</v>
      </c>
    </row>
    <row r="18" spans="2:7" x14ac:dyDescent="0.25">
      <c r="B18" s="69" t="s">
        <v>131</v>
      </c>
      <c r="C18" s="63">
        <v>88.5</v>
      </c>
    </row>
    <row r="19" spans="2:7" x14ac:dyDescent="0.25">
      <c r="B19" s="69" t="s">
        <v>132</v>
      </c>
      <c r="C19" s="72">
        <v>0.1</v>
      </c>
    </row>
    <row r="20" spans="2:7" x14ac:dyDescent="0.25">
      <c r="B20" s="69" t="s">
        <v>133</v>
      </c>
      <c r="C20" s="63">
        <v>98</v>
      </c>
    </row>
    <row r="21" spans="2:7" x14ac:dyDescent="0.25">
      <c r="B21" s="69" t="s">
        <v>134</v>
      </c>
      <c r="C21" s="73">
        <v>8.1999999999999993</v>
      </c>
    </row>
    <row r="23" spans="2:7" x14ac:dyDescent="0.25">
      <c r="B23" s="66" t="s">
        <v>135</v>
      </c>
      <c r="E23" s="66" t="s">
        <v>136</v>
      </c>
      <c r="G23" s="66" t="s">
        <v>137</v>
      </c>
    </row>
    <row r="24" spans="2:7" x14ac:dyDescent="0.25">
      <c r="B24" s="69" t="s">
        <v>138</v>
      </c>
      <c r="C24" s="63">
        <v>69</v>
      </c>
      <c r="E24" s="65" t="s">
        <v>139</v>
      </c>
      <c r="G24" s="65" t="s">
        <v>140</v>
      </c>
    </row>
    <row r="25" spans="2:7" x14ac:dyDescent="0.25">
      <c r="B25" s="69" t="s">
        <v>141</v>
      </c>
      <c r="C25" s="74">
        <v>24.686</v>
      </c>
      <c r="E25" s="65" t="s">
        <v>142</v>
      </c>
      <c r="G25" s="65" t="s">
        <v>143</v>
      </c>
    </row>
    <row r="26" spans="2:7" x14ac:dyDescent="0.25">
      <c r="B26" s="69" t="s">
        <v>144</v>
      </c>
      <c r="C26" s="74">
        <v>15.555</v>
      </c>
      <c r="E26" s="65" t="s">
        <v>145</v>
      </c>
      <c r="G26" s="65" t="s">
        <v>146</v>
      </c>
    </row>
    <row r="27" spans="2:7" x14ac:dyDescent="0.25">
      <c r="B27" s="69" t="s">
        <v>147</v>
      </c>
      <c r="C27" s="74">
        <f>+C25+C26</f>
        <v>40.241</v>
      </c>
      <c r="E27" s="65" t="s">
        <v>148</v>
      </c>
      <c r="G27" s="65" t="s">
        <v>149</v>
      </c>
    </row>
    <row r="28" spans="2:7" x14ac:dyDescent="0.25">
      <c r="B28" s="69" t="s">
        <v>150</v>
      </c>
      <c r="C28" s="63">
        <v>0.96899999999999997</v>
      </c>
      <c r="E28" s="65" t="s">
        <v>151</v>
      </c>
      <c r="G28" s="65" t="s">
        <v>152</v>
      </c>
    </row>
    <row r="29" spans="2:7" x14ac:dyDescent="0.25">
      <c r="C29" s="75"/>
      <c r="E29" s="65" t="s">
        <v>153</v>
      </c>
      <c r="G29" s="65" t="s">
        <v>154</v>
      </c>
    </row>
    <row r="30" spans="2:7" x14ac:dyDescent="0.25">
      <c r="B30" s="69" t="s">
        <v>155</v>
      </c>
      <c r="C30" s="76">
        <f>+C31/C25</f>
        <v>4.5369845256420648E-2</v>
      </c>
      <c r="E30" s="65" t="s">
        <v>156</v>
      </c>
    </row>
    <row r="31" spans="2:7" x14ac:dyDescent="0.25">
      <c r="B31" s="69" t="s">
        <v>157</v>
      </c>
      <c r="C31" s="74">
        <v>1.1200000000000001</v>
      </c>
      <c r="E31" s="65" t="s">
        <v>158</v>
      </c>
    </row>
    <row r="32" spans="2:7" x14ac:dyDescent="0.25">
      <c r="E32" s="65" t="s">
        <v>159</v>
      </c>
    </row>
    <row r="33" spans="5:5" x14ac:dyDescent="0.25">
      <c r="E33" s="65" t="s">
        <v>160</v>
      </c>
    </row>
    <row r="35" spans="5:5" x14ac:dyDescent="0.25">
      <c r="E35" s="65" t="s">
        <v>161</v>
      </c>
    </row>
    <row r="36" spans="5:5" x14ac:dyDescent="0.25">
      <c r="E36" s="65" t="s">
        <v>162</v>
      </c>
    </row>
  </sheetData>
  <mergeCells count="8">
    <mergeCell ref="D9:G9"/>
    <mergeCell ref="D10:G10"/>
    <mergeCell ref="D2:G2"/>
    <mergeCell ref="D3:G3"/>
    <mergeCell ref="D4:G4"/>
    <mergeCell ref="D5:G5"/>
    <mergeCell ref="D7:G7"/>
    <mergeCell ref="D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Comparación</vt:lpstr>
      <vt:lpstr>Pliego</vt:lpstr>
      <vt:lpstr>Energía</vt:lpstr>
      <vt:lpstr>Respaldo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PIRIA</dc:creator>
  <cp:lastModifiedBy>Mario Vignolo</cp:lastModifiedBy>
  <dcterms:created xsi:type="dcterms:W3CDTF">2023-10-28T12:03:36Z</dcterms:created>
  <dcterms:modified xsi:type="dcterms:W3CDTF">2023-10-30T14:24:39Z</dcterms:modified>
</cp:coreProperties>
</file>