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0"/>
  </bookViews>
  <sheets>
    <sheet name="Datos" sheetId="1" r:id="rId1"/>
    <sheet name="EstGranulometria" sheetId="2" r:id="rId2"/>
    <sheet name="Moldeo" sheetId="3" r:id="rId3"/>
    <sheet name="Salida" sheetId="4" r:id="rId4"/>
    <sheet name="Formulario" sheetId="5" r:id="rId5"/>
    <sheet name="Calculo" sheetId="6" r:id="rId6"/>
  </sheets>
  <definedNames>
    <definedName name="_xlnm.Print_Area" localSheetId="1">'EstGranulometria'!$A$1:$Q$30</definedName>
    <definedName name="_xlnm.Print_Area" localSheetId="4">'Formulario'!$A$1:$I$40</definedName>
    <definedName name="_xlnm.Print_Area" localSheetId="2">'Moldeo'!$B$22:$K$34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<sst xmlns="http://schemas.openxmlformats.org/spreadsheetml/2006/main" count="259" uniqueCount="102">
  <si>
    <t>Tamiz</t>
  </si>
  <si>
    <t>1"</t>
  </si>
  <si>
    <t>3/4"</t>
  </si>
  <si>
    <t>1/2"</t>
  </si>
  <si>
    <t>3/8"</t>
  </si>
  <si>
    <t>N° 4</t>
  </si>
  <si>
    <t>N° 8</t>
  </si>
  <si>
    <t>N° 30</t>
  </si>
  <si>
    <t>N° 50</t>
  </si>
  <si>
    <t>N° 100</t>
  </si>
  <si>
    <t>N° 200</t>
  </si>
  <si>
    <t>P/ 200</t>
  </si>
  <si>
    <t>Retenido (g)</t>
  </si>
  <si>
    <t>% Pasa</t>
  </si>
  <si>
    <t>% Pasa Min</t>
  </si>
  <si>
    <t>% Pasa Max</t>
  </si>
  <si>
    <t>Observación</t>
  </si>
  <si>
    <t>SUMA</t>
  </si>
  <si>
    <t>Observaciones</t>
  </si>
  <si>
    <t>% en mezcla</t>
  </si>
  <si>
    <t>Nº de Agregado</t>
  </si>
  <si>
    <t>Peso Muestra (g)</t>
  </si>
  <si>
    <t>¿Cumple?</t>
  </si>
  <si>
    <t>Clasificación</t>
  </si>
  <si>
    <t>(mm)</t>
  </si>
  <si>
    <t>Tamaño Max. Nominal</t>
  </si>
  <si>
    <t>mm</t>
  </si>
  <si>
    <t>A</t>
  </si>
  <si>
    <r>
      <t>Tamiz</t>
    </r>
    <r>
      <rPr>
        <vertAlign val="superscript"/>
        <sz val="10"/>
        <rFont val="Arial"/>
        <family val="2"/>
      </rPr>
      <t>0,45</t>
    </r>
    <r>
      <rPr>
        <sz val="10"/>
        <rFont val="Arial"/>
        <family val="2"/>
      </rPr>
      <t xml:space="preserve"> /A</t>
    </r>
    <r>
      <rPr>
        <sz val="10"/>
        <rFont val="Arial"/>
        <family val="0"/>
      </rPr>
      <t xml:space="preserve"> = %</t>
    </r>
  </si>
  <si>
    <t>Operador:</t>
  </si>
  <si>
    <t>Husos Granulométricos</t>
  </si>
  <si>
    <t>Fecha:</t>
  </si>
  <si>
    <t>* tamaño de tamiz superior al 1ero que retiene + del 10%</t>
  </si>
  <si>
    <t>Calculo de curva de máxima densidad</t>
  </si>
  <si>
    <t>% pasando optimo de composición</t>
  </si>
  <si>
    <t>Incidencia %</t>
  </si>
  <si>
    <t>Retenido Mezcla (g)</t>
  </si>
  <si>
    <t>Pasa (g)</t>
  </si>
  <si>
    <t>MAX NOMINAL (&gt;10%)</t>
  </si>
  <si>
    <t>Observaciones:</t>
  </si>
  <si>
    <t>Observaciones Generales:</t>
  </si>
  <si>
    <t>Peso Total a moldear</t>
  </si>
  <si>
    <t>g</t>
  </si>
  <si>
    <t>Asfalto</t>
  </si>
  <si>
    <t>Composición en peso (g)</t>
  </si>
  <si>
    <t>Grueso</t>
  </si>
  <si>
    <t>Intermedio</t>
  </si>
  <si>
    <t>Arena fina</t>
  </si>
  <si>
    <t>Cantera Pick Wick</t>
  </si>
  <si>
    <t>Arenera Pecas</t>
  </si>
  <si>
    <t>Arenera Pecass</t>
  </si>
  <si>
    <t>Arena gruesa</t>
  </si>
  <si>
    <t>Polvo</t>
  </si>
  <si>
    <t>Costo ($/m3)</t>
  </si>
  <si>
    <t>Volumen unitario (cm3/g)</t>
  </si>
  <si>
    <t>Densidad suelto (g/cm3)</t>
  </si>
  <si>
    <t>ton</t>
  </si>
  <si>
    <t>Peso parcial (kg)</t>
  </si>
  <si>
    <t>Volumen parcial (m3)</t>
  </si>
  <si>
    <t>Costo ($/ton)</t>
  </si>
  <si>
    <t>$/ton</t>
  </si>
  <si>
    <t>Costo Asfalto</t>
  </si>
  <si>
    <t>COSTOS DE MATERIA PRIMA</t>
  </si>
  <si>
    <t>Costo de asfalto en mezcla</t>
  </si>
  <si>
    <t>Costo total de mezcla</t>
  </si>
  <si>
    <t>Dólar</t>
  </si>
  <si>
    <t>$</t>
  </si>
  <si>
    <t>U$S/ton</t>
  </si>
  <si>
    <t>Producción</t>
  </si>
  <si>
    <t xml:space="preserve">MOLDEO </t>
  </si>
  <si>
    <t>DATOS Y CALCULOS</t>
  </si>
  <si>
    <t/>
  </si>
  <si>
    <t>Clasificación:</t>
  </si>
  <si>
    <t>MEZCLA             % Pasa</t>
  </si>
  <si>
    <t>Laboratorio DNV-Regional 1 (Progreso)</t>
  </si>
  <si>
    <t>Estudio Granulométrico y composición de Mezcla Asfáltica</t>
  </si>
  <si>
    <t>% de composición</t>
  </si>
  <si>
    <t>Firma Técnica</t>
  </si>
  <si>
    <t>Máxima Densidad</t>
  </si>
  <si>
    <t>Planilla de %</t>
  </si>
  <si>
    <t>Nª 1</t>
  </si>
  <si>
    <t>Nª 2</t>
  </si>
  <si>
    <t>Nª 3</t>
  </si>
  <si>
    <t>Nª 4</t>
  </si>
  <si>
    <t>Nª 5</t>
  </si>
  <si>
    <t>Nª 6</t>
  </si>
  <si>
    <t>Nª 7</t>
  </si>
  <si>
    <t>Nª 8</t>
  </si>
  <si>
    <t>Nª 9</t>
  </si>
  <si>
    <t>Nª 10</t>
  </si>
  <si>
    <t>Mezcla para moldeo con peso de áridos (g)</t>
  </si>
  <si>
    <t>% de Composición</t>
  </si>
  <si>
    <t>Costo por tonelada</t>
  </si>
  <si>
    <t>U$S</t>
  </si>
  <si>
    <t>%</t>
  </si>
  <si>
    <t>(g)</t>
  </si>
  <si>
    <t>Cantera Montevideo</t>
  </si>
  <si>
    <t>Grueso 5-20</t>
  </si>
  <si>
    <t>Intermedio 5 - 10</t>
  </si>
  <si>
    <t>Grueso 5-14</t>
  </si>
  <si>
    <t>Arena terciada</t>
  </si>
  <si>
    <t>Cabrera -  Lopez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</si>
</sst>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[$-380A]dddd\,\ dd&quot; de &quot;mmmm&quot; de &quot;yyyy"/>
    <numFmt numFmtId="201" formatCode="\$\ #,##0"/>
    <numFmt numFmtId="202" formatCode="\$\ #,##0.0"/>
    <numFmt numFmtId="203" formatCode="\$\ #,##0.00"/>
  </numFmts>
  <fonts count="2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.5"/>
      <name val="Arial"/>
      <family val="2"/>
    </font>
    <font>
      <b/>
      <sz val="8"/>
      <name val="Arial"/>
      <family val="2"/>
    </font>
    <font>
      <sz val="5.25"/>
      <name val="Arial"/>
      <family val="2"/>
    </font>
    <font>
      <vertAlign val="superscript"/>
      <sz val="10"/>
      <name val="Arial"/>
      <family val="2"/>
    </font>
    <font>
      <b/>
      <sz val="1.5"/>
      <name val="Arial"/>
      <family val="2"/>
    </font>
    <font>
      <b/>
      <sz val="1"/>
      <name val="Arial"/>
      <family val="2"/>
    </font>
    <font>
      <sz val="1.25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.5"/>
      <name val="Arial"/>
      <family val="2"/>
    </font>
    <font>
      <b/>
      <sz val="11.75"/>
      <name val="Arial"/>
      <family val="2"/>
    </font>
    <font>
      <b/>
      <sz val="9.25"/>
      <name val="Arial"/>
      <family val="2"/>
    </font>
    <font>
      <sz val="9.75"/>
      <name val="Arial"/>
      <family val="2"/>
    </font>
    <font>
      <sz val="8.25"/>
      <name val="Arial"/>
      <family val="2"/>
    </font>
    <font>
      <b/>
      <sz val="14"/>
      <name val="Arial Rounded MT Bold"/>
      <family val="2"/>
    </font>
    <font>
      <sz val="10"/>
      <name val="Agency FB"/>
      <family val="2"/>
    </font>
    <font>
      <b/>
      <sz val="11"/>
      <name val="Agency FB"/>
      <family val="2"/>
    </font>
    <font>
      <b/>
      <sz val="2"/>
      <name val="Arial"/>
      <family val="2"/>
    </font>
    <font>
      <b/>
      <sz val="2.5"/>
      <name val="Arial"/>
      <family val="2"/>
    </font>
    <font>
      <sz val="2"/>
      <name val="Arial"/>
      <family val="2"/>
    </font>
    <font>
      <sz val="1.5"/>
      <name val="Arial"/>
      <family val="2"/>
    </font>
    <font>
      <b/>
      <sz val="13"/>
      <name val="Arial Rounded MT Bold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188" fontId="1" fillId="0" borderId="2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4" borderId="0" xfId="0" applyFont="1" applyFill="1" applyAlignment="1" applyProtection="1">
      <alignment/>
      <protection hidden="1"/>
    </xf>
    <xf numFmtId="9" fontId="0" fillId="4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4" fillId="4" borderId="2" xfId="0" applyNumberFormat="1" applyFont="1" applyFill="1" applyBorder="1" applyAlignment="1" applyProtection="1">
      <alignment horizontal="center"/>
      <protection hidden="1"/>
    </xf>
    <xf numFmtId="188" fontId="4" fillId="4" borderId="0" xfId="0" applyNumberFormat="1" applyFont="1" applyFill="1" applyBorder="1" applyAlignment="1" applyProtection="1">
      <alignment horizontal="center"/>
      <protection hidden="1"/>
    </xf>
    <xf numFmtId="9" fontId="0" fillId="5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2" fontId="4" fillId="4" borderId="2" xfId="0" applyNumberFormat="1" applyFont="1" applyFill="1" applyBorder="1" applyAlignment="1" applyProtection="1">
      <alignment horizontal="center"/>
      <protection hidden="1"/>
    </xf>
    <xf numFmtId="190" fontId="0" fillId="0" borderId="2" xfId="0" applyNumberFormat="1" applyFont="1" applyFill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center"/>
      <protection locked="0"/>
    </xf>
    <xf numFmtId="190" fontId="0" fillId="4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9" fontId="0" fillId="4" borderId="2" xfId="0" applyNumberFormat="1" applyFont="1" applyFill="1" applyBorder="1" applyAlignment="1" applyProtection="1">
      <alignment horizontal="center"/>
      <protection locked="0"/>
    </xf>
    <xf numFmtId="2" fontId="4" fillId="4" borderId="0" xfId="0" applyNumberFormat="1" applyFont="1" applyFill="1" applyBorder="1" applyAlignment="1" applyProtection="1">
      <alignment horizontal="center"/>
      <protection hidden="1"/>
    </xf>
    <xf numFmtId="188" fontId="1" fillId="5" borderId="3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188" fontId="0" fillId="5" borderId="6" xfId="0" applyNumberFormat="1" applyFont="1" applyFill="1" applyBorder="1" applyAlignment="1" applyProtection="1">
      <alignment horizontal="center"/>
      <protection hidden="1"/>
    </xf>
    <xf numFmtId="188" fontId="0" fillId="4" borderId="6" xfId="0" applyNumberFormat="1" applyFont="1" applyFill="1" applyBorder="1" applyAlignment="1" applyProtection="1">
      <alignment horizontal="center"/>
      <protection hidden="1"/>
    </xf>
    <xf numFmtId="188" fontId="0" fillId="4" borderId="7" xfId="0" applyNumberFormat="1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left" vertical="center"/>
      <protection hidden="1"/>
    </xf>
    <xf numFmtId="9" fontId="0" fillId="5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 vertical="center"/>
      <protection hidden="1"/>
    </xf>
    <xf numFmtId="9" fontId="0" fillId="4" borderId="12" xfId="0" applyNumberFormat="1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left" vertical="center"/>
      <protection hidden="1"/>
    </xf>
    <xf numFmtId="9" fontId="0" fillId="4" borderId="14" xfId="0" applyNumberFormat="1" applyFont="1" applyFill="1" applyBorder="1" applyAlignment="1" applyProtection="1">
      <alignment horizontal="center"/>
      <protection locked="0"/>
    </xf>
    <xf numFmtId="9" fontId="0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9" fontId="0" fillId="4" borderId="4" xfId="0" applyNumberFormat="1" applyFont="1" applyFill="1" applyBorder="1" applyAlignment="1" applyProtection="1">
      <alignment horizontal="center"/>
      <protection locked="0"/>
    </xf>
    <xf numFmtId="9" fontId="0" fillId="4" borderId="16" xfId="0" applyNumberFormat="1" applyFont="1" applyFill="1" applyBorder="1" applyAlignment="1" applyProtection="1">
      <alignment horizontal="center"/>
      <protection locked="0"/>
    </xf>
    <xf numFmtId="188" fontId="0" fillId="5" borderId="6" xfId="0" applyNumberFormat="1" applyFill="1" applyBorder="1" applyAlignment="1" applyProtection="1">
      <alignment horizontal="center"/>
      <protection hidden="1"/>
    </xf>
    <xf numFmtId="188" fontId="0" fillId="4" borderId="6" xfId="0" applyNumberFormat="1" applyFill="1" applyBorder="1" applyAlignment="1" applyProtection="1">
      <alignment horizontal="center"/>
      <protection hidden="1"/>
    </xf>
    <xf numFmtId="188" fontId="0" fillId="4" borderId="7" xfId="0" applyNumberFormat="1" applyFill="1" applyBorder="1" applyAlignment="1" applyProtection="1">
      <alignment horizontal="center"/>
      <protection hidden="1"/>
    </xf>
    <xf numFmtId="2" fontId="4" fillId="4" borderId="4" xfId="0" applyNumberFormat="1" applyFont="1" applyFill="1" applyBorder="1" applyAlignment="1" applyProtection="1">
      <alignment horizontal="center"/>
      <protection hidden="1"/>
    </xf>
    <xf numFmtId="2" fontId="4" fillId="3" borderId="4" xfId="0" applyNumberFormat="1" applyFont="1" applyFill="1" applyBorder="1" applyAlignment="1" applyProtection="1">
      <alignment horizontal="center"/>
      <protection hidden="1"/>
    </xf>
    <xf numFmtId="9" fontId="0" fillId="4" borderId="17" xfId="0" applyNumberFormat="1" applyFont="1" applyFill="1" applyBorder="1" applyAlignment="1" applyProtection="1">
      <alignment horizontal="center"/>
      <protection locked="0"/>
    </xf>
    <xf numFmtId="9" fontId="0" fillId="3" borderId="17" xfId="0" applyNumberFormat="1" applyFont="1" applyFill="1" applyBorder="1" applyAlignment="1" applyProtection="1">
      <alignment horizontal="center"/>
      <protection locked="0"/>
    </xf>
    <xf numFmtId="9" fontId="0" fillId="3" borderId="12" xfId="0" applyNumberFormat="1" applyFont="1" applyFill="1" applyBorder="1" applyAlignment="1" applyProtection="1">
      <alignment horizontal="center"/>
      <protection locked="0"/>
    </xf>
    <xf numFmtId="2" fontId="0" fillId="4" borderId="18" xfId="0" applyNumberFormat="1" applyFont="1" applyFill="1" applyBorder="1" applyAlignment="1" applyProtection="1">
      <alignment horizontal="center"/>
      <protection hidden="1"/>
    </xf>
    <xf numFmtId="2" fontId="0" fillId="3" borderId="18" xfId="0" applyNumberFormat="1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3" fillId="3" borderId="6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188" fontId="0" fillId="4" borderId="0" xfId="0" applyNumberFormat="1" applyFill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190" fontId="0" fillId="0" borderId="2" xfId="0" applyNumberFormat="1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right" vertical="center"/>
      <protection hidden="1"/>
    </xf>
    <xf numFmtId="188" fontId="15" fillId="0" borderId="2" xfId="0" applyNumberFormat="1" applyFont="1" applyFill="1" applyBorder="1" applyAlignment="1" applyProtection="1">
      <alignment horizontal="center" vertical="center"/>
      <protection hidden="1"/>
    </xf>
    <xf numFmtId="188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vertical="center"/>
      <protection hidden="1"/>
    </xf>
    <xf numFmtId="0" fontId="3" fillId="4" borderId="2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9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88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90" fontId="14" fillId="0" borderId="23" xfId="0" applyNumberFormat="1" applyFont="1" applyFill="1" applyBorder="1" applyAlignment="1" applyProtection="1">
      <alignment horizontal="center" vertical="center"/>
      <protection hidden="1"/>
    </xf>
    <xf numFmtId="190" fontId="3" fillId="3" borderId="20" xfId="0" applyNumberFormat="1" applyFont="1" applyFill="1" applyBorder="1" applyAlignment="1" applyProtection="1">
      <alignment horizontal="right" vertical="center"/>
      <protection locked="0"/>
    </xf>
    <xf numFmtId="188" fontId="3" fillId="3" borderId="1" xfId="0" applyNumberFormat="1" applyFont="1" applyFill="1" applyBorder="1" applyAlignment="1" applyProtection="1">
      <alignment horizontal="center" vertical="center"/>
      <protection locked="0"/>
    </xf>
    <xf numFmtId="190" fontId="14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91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02" fontId="0" fillId="0" borderId="23" xfId="0" applyNumberFormat="1" applyBorder="1" applyAlignment="1" applyProtection="1">
      <alignment horizontal="center"/>
      <protection hidden="1"/>
    </xf>
    <xf numFmtId="190" fontId="0" fillId="2" borderId="20" xfId="0" applyNumberFormat="1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2" fontId="0" fillId="2" borderId="20" xfId="0" applyNumberForma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201" fontId="0" fillId="3" borderId="2" xfId="0" applyNumberFormat="1" applyFill="1" applyBorder="1" applyAlignment="1" applyProtection="1">
      <alignment horizontal="center"/>
      <protection locked="0"/>
    </xf>
    <xf numFmtId="191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hidden="1"/>
    </xf>
    <xf numFmtId="203" fontId="0" fillId="3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top" wrapText="1"/>
      <protection hidden="1"/>
    </xf>
    <xf numFmtId="0" fontId="0" fillId="3" borderId="6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4" borderId="28" xfId="0" applyFont="1" applyFill="1" applyBorder="1" applyAlignment="1" applyProtection="1">
      <alignment horizontal="left" vertical="center"/>
      <protection hidden="1"/>
    </xf>
    <xf numFmtId="0" fontId="3" fillId="4" borderId="29" xfId="0" applyFont="1" applyFill="1" applyBorder="1" applyAlignment="1" applyProtection="1">
      <alignment horizontal="left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188" fontId="13" fillId="0" borderId="32" xfId="0" applyNumberFormat="1" applyFont="1" applyBorder="1" applyAlignment="1" applyProtection="1">
      <alignment horizontal="center" vertical="center"/>
      <protection hidden="1"/>
    </xf>
    <xf numFmtId="0" fontId="3" fillId="4" borderId="33" xfId="0" applyFont="1" applyFill="1" applyBorder="1" applyAlignment="1" applyProtection="1">
      <alignment horizontal="left" vertical="center"/>
      <protection hidden="1"/>
    </xf>
    <xf numFmtId="9" fontId="0" fillId="4" borderId="34" xfId="0" applyNumberFormat="1" applyFont="1" applyFill="1" applyBorder="1" applyAlignment="1" applyProtection="1">
      <alignment horizontal="center"/>
      <protection locked="0"/>
    </xf>
    <xf numFmtId="9" fontId="0" fillId="4" borderId="35" xfId="0" applyNumberFormat="1" applyFont="1" applyFill="1" applyBorder="1" applyAlignment="1" applyProtection="1">
      <alignment horizontal="center"/>
      <protection locked="0"/>
    </xf>
    <xf numFmtId="9" fontId="0" fillId="4" borderId="36" xfId="0" applyNumberFormat="1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9" fontId="0" fillId="3" borderId="37" xfId="0" applyNumberFormat="1" applyFont="1" applyFill="1" applyBorder="1" applyAlignment="1" applyProtection="1">
      <alignment horizontal="center"/>
      <protection locked="0"/>
    </xf>
    <xf numFmtId="9" fontId="0" fillId="3" borderId="22" xfId="0" applyNumberFormat="1" applyFont="1" applyFill="1" applyBorder="1" applyAlignment="1" applyProtection="1">
      <alignment horizontal="center"/>
      <protection locked="0"/>
    </xf>
    <xf numFmtId="9" fontId="0" fillId="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/>
      <protection locked="0"/>
    </xf>
    <xf numFmtId="0" fontId="0" fillId="0" borderId="39" xfId="0" applyFill="1" applyBorder="1" applyAlignment="1" applyProtection="1">
      <alignment horizontal="right" vertical="center"/>
      <protection hidden="1"/>
    </xf>
    <xf numFmtId="0" fontId="0" fillId="0" borderId="39" xfId="0" applyFill="1" applyBorder="1" applyAlignment="1" applyProtection="1">
      <alignment horizontal="right" vertical="center"/>
      <protection locked="0"/>
    </xf>
    <xf numFmtId="0" fontId="0" fillId="0" borderId="40" xfId="0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top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2" fontId="3" fillId="4" borderId="0" xfId="0" applyNumberFormat="1" applyFont="1" applyFill="1" applyBorder="1" applyAlignment="1" applyProtection="1">
      <alignment horizontal="center" vertical="center"/>
      <protection hidden="1"/>
    </xf>
    <xf numFmtId="190" fontId="0" fillId="4" borderId="2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3" fillId="4" borderId="2" xfId="0" applyFont="1" applyFill="1" applyBorder="1" applyAlignment="1" applyProtection="1">
      <alignment horizontal="left" vertical="center" wrapText="1"/>
      <protection hidden="1"/>
    </xf>
    <xf numFmtId="190" fontId="3" fillId="4" borderId="2" xfId="0" applyNumberFormat="1" applyFont="1" applyFill="1" applyBorder="1" applyAlignment="1" applyProtection="1">
      <alignment horizontal="center"/>
      <protection hidden="1"/>
    </xf>
    <xf numFmtId="188" fontId="14" fillId="4" borderId="2" xfId="0" applyNumberFormat="1" applyFont="1" applyFill="1" applyBorder="1" applyAlignment="1" applyProtection="1">
      <alignment horizontal="center"/>
      <protection hidden="1"/>
    </xf>
    <xf numFmtId="190" fontId="3" fillId="4" borderId="0" xfId="0" applyNumberFormat="1" applyFont="1" applyFill="1" applyBorder="1" applyAlignment="1" applyProtection="1">
      <alignment horizontal="center"/>
      <protection hidden="1"/>
    </xf>
    <xf numFmtId="188" fontId="14" fillId="4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190" fontId="0" fillId="4" borderId="0" xfId="0" applyNumberFormat="1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4" borderId="0" xfId="0" applyFill="1" applyAlignment="1" applyProtection="1">
      <alignment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vertical="center" wrapText="1"/>
      <protection hidden="1"/>
    </xf>
    <xf numFmtId="0" fontId="22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3" fillId="4" borderId="0" xfId="0" applyFont="1" applyFill="1" applyAlignment="1" applyProtection="1">
      <alignment horizontal="right" vertical="top"/>
      <protection hidden="1"/>
    </xf>
    <xf numFmtId="14" fontId="0" fillId="4" borderId="0" xfId="0" applyNumberFormat="1" applyFill="1" applyBorder="1" applyAlignment="1" applyProtection="1">
      <alignment horizontal="left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190" fontId="0" fillId="4" borderId="2" xfId="0" applyNumberFormat="1" applyFont="1" applyFill="1" applyBorder="1" applyAlignment="1" applyProtection="1">
      <alignment horizontal="center" vertical="center"/>
      <protection hidden="1"/>
    </xf>
    <xf numFmtId="188" fontId="0" fillId="4" borderId="2" xfId="0" applyNumberForma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9" fontId="0" fillId="4" borderId="4" xfId="0" applyNumberFormat="1" applyFont="1" applyFill="1" applyBorder="1" applyAlignment="1" applyProtection="1">
      <alignment horizontal="center" vertical="center"/>
      <protection hidden="1"/>
    </xf>
    <xf numFmtId="9" fontId="0" fillId="4" borderId="2" xfId="0" applyNumberFormat="1" applyFon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/>
      <protection hidden="1"/>
    </xf>
    <xf numFmtId="18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19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41" xfId="0" applyFill="1" applyBorder="1" applyAlignment="1" applyProtection="1">
      <alignment horizontal="right" vertical="center"/>
      <protection locked="0"/>
    </xf>
    <xf numFmtId="0" fontId="0" fillId="2" borderId="29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14" fontId="0" fillId="4" borderId="42" xfId="0" applyNumberFormat="1" applyFill="1" applyBorder="1" applyAlignment="1" applyProtection="1">
      <alignment horizontal="left" wrapText="1"/>
      <protection hidden="1"/>
    </xf>
    <xf numFmtId="0" fontId="0" fillId="4" borderId="42" xfId="0" applyFill="1" applyBorder="1" applyAlignment="1" applyProtection="1">
      <alignment vertical="top"/>
      <protection hidden="1"/>
    </xf>
    <xf numFmtId="0" fontId="0" fillId="4" borderId="42" xfId="0" applyFill="1" applyBorder="1" applyAlignment="1" applyProtection="1">
      <alignment vertical="center" wrapText="1"/>
      <protection hidden="1"/>
    </xf>
    <xf numFmtId="0" fontId="13" fillId="4" borderId="2" xfId="0" applyFont="1" applyFill="1" applyBorder="1" applyAlignment="1" applyProtection="1">
      <alignment horizontal="left" vertical="center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45" xfId="0" applyFill="1" applyBorder="1" applyAlignment="1" applyProtection="1">
      <alignment/>
      <protection hidden="1"/>
    </xf>
    <xf numFmtId="188" fontId="0" fillId="0" borderId="2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190" fontId="15" fillId="2" borderId="2" xfId="0" applyNumberFormat="1" applyFont="1" applyFill="1" applyBorder="1" applyAlignment="1" applyProtection="1">
      <alignment horizontal="center"/>
      <protection locked="0"/>
    </xf>
    <xf numFmtId="190" fontId="15" fillId="3" borderId="2" xfId="0" applyNumberFormat="1" applyFont="1" applyFill="1" applyBorder="1" applyAlignment="1" applyProtection="1">
      <alignment horizontal="center"/>
      <protection locked="0"/>
    </xf>
    <xf numFmtId="190" fontId="15" fillId="2" borderId="2" xfId="0" applyNumberFormat="1" applyFont="1" applyFill="1" applyBorder="1" applyAlignment="1" applyProtection="1">
      <alignment horizontal="center"/>
      <protection hidden="1"/>
    </xf>
    <xf numFmtId="190" fontId="15" fillId="3" borderId="2" xfId="0" applyNumberFormat="1" applyFont="1" applyFill="1" applyBorder="1" applyAlignment="1" applyProtection="1">
      <alignment horizontal="center"/>
      <protection hidden="1"/>
    </xf>
    <xf numFmtId="190" fontId="15" fillId="4" borderId="2" xfId="0" applyNumberFormat="1" applyFont="1" applyFill="1" applyBorder="1" applyAlignment="1" applyProtection="1">
      <alignment horizontal="center"/>
      <protection hidden="1"/>
    </xf>
    <xf numFmtId="9" fontId="15" fillId="5" borderId="2" xfId="0" applyNumberFormat="1" applyFont="1" applyFill="1" applyBorder="1" applyAlignment="1" applyProtection="1">
      <alignment horizontal="center"/>
      <protection locked="0"/>
    </xf>
    <xf numFmtId="9" fontId="15" fillId="5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190" fontId="0" fillId="2" borderId="0" xfId="0" applyNumberForma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/>
      <protection hidden="1"/>
    </xf>
    <xf numFmtId="201" fontId="0" fillId="3" borderId="12" xfId="0" applyNumberFormat="1" applyFill="1" applyBorder="1" applyAlignment="1" applyProtection="1">
      <alignment horizontal="center"/>
      <protection locked="0"/>
    </xf>
    <xf numFmtId="191" fontId="0" fillId="3" borderId="12" xfId="0" applyNumberFormat="1" applyFill="1" applyBorder="1" applyAlignment="1" applyProtection="1">
      <alignment horizontal="center"/>
      <protection locked="0"/>
    </xf>
    <xf numFmtId="191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202" fontId="0" fillId="0" borderId="14" xfId="0" applyNumberFormat="1" applyBorder="1" applyAlignment="1" applyProtection="1">
      <alignment horizontal="center"/>
      <protection hidden="1"/>
    </xf>
    <xf numFmtId="188" fontId="0" fillId="0" borderId="8" xfId="0" applyNumberFormat="1" applyBorder="1" applyAlignment="1" applyProtection="1">
      <alignment/>
      <protection locked="0"/>
    </xf>
    <xf numFmtId="188" fontId="0" fillId="0" borderId="19" xfId="0" applyNumberFormat="1" applyBorder="1" applyAlignment="1" applyProtection="1">
      <alignment horizontal="center" vertical="center"/>
      <protection locked="0"/>
    </xf>
    <xf numFmtId="188" fontId="0" fillId="0" borderId="21" xfId="0" applyNumberFormat="1" applyBorder="1" applyAlignment="1" applyProtection="1">
      <alignment horizontal="center" vertical="center"/>
      <protection locked="0"/>
    </xf>
    <xf numFmtId="190" fontId="0" fillId="0" borderId="3" xfId="0" applyNumberForma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90" fontId="0" fillId="0" borderId="46" xfId="0" applyNumberFormat="1" applyBorder="1" applyAlignment="1" applyProtection="1">
      <alignment horizontal="center"/>
      <protection locked="0"/>
    </xf>
    <xf numFmtId="190" fontId="0" fillId="0" borderId="12" xfId="0" applyNumberFormat="1" applyBorder="1" applyAlignment="1" applyProtection="1">
      <alignment horizontal="center"/>
      <protection locked="0"/>
    </xf>
    <xf numFmtId="190" fontId="0" fillId="0" borderId="23" xfId="0" applyNumberFormat="1" applyBorder="1" applyAlignment="1" applyProtection="1">
      <alignment horizontal="center"/>
      <protection locked="0"/>
    </xf>
    <xf numFmtId="190" fontId="0" fillId="0" borderId="14" xfId="0" applyNumberFormat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/>
      <protection locked="0"/>
    </xf>
    <xf numFmtId="0" fontId="3" fillId="2" borderId="39" xfId="0" applyFont="1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  <xf numFmtId="1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88" fontId="14" fillId="6" borderId="49" xfId="0" applyNumberFormat="1" applyFont="1" applyFill="1" applyBorder="1" applyAlignment="1" applyProtection="1">
      <alignment horizontal="center" vertical="center"/>
      <protection locked="0"/>
    </xf>
    <xf numFmtId="188" fontId="14" fillId="6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88" fontId="0" fillId="7" borderId="2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15" fillId="5" borderId="51" xfId="0" applyFont="1" applyFill="1" applyBorder="1" applyAlignment="1" applyProtection="1">
      <alignment horizontal="center" vertical="center" wrapText="1"/>
      <protection locked="0"/>
    </xf>
    <xf numFmtId="0" fontId="15" fillId="5" borderId="52" xfId="0" applyFont="1" applyFill="1" applyBorder="1" applyAlignment="1" applyProtection="1">
      <alignment horizontal="center" vertical="center" wrapText="1"/>
      <protection locked="0"/>
    </xf>
    <xf numFmtId="0" fontId="15" fillId="5" borderId="53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5" fillId="5" borderId="54" xfId="0" applyFont="1" applyFill="1" applyBorder="1" applyAlignment="1" applyProtection="1">
      <alignment horizontal="center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14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9" fontId="4" fillId="4" borderId="54" xfId="0" applyNumberFormat="1" applyFont="1" applyFill="1" applyBorder="1" applyAlignment="1" applyProtection="1">
      <alignment horizontal="center"/>
      <protection hidden="1"/>
    </xf>
    <xf numFmtId="9" fontId="4" fillId="5" borderId="54" xfId="0" applyNumberFormat="1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55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3" fillId="0" borderId="22" xfId="0" applyFont="1" applyFill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left" vertical="top" wrapText="1"/>
      <protection hidden="1"/>
    </xf>
    <xf numFmtId="0" fontId="15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center" vertical="top"/>
      <protection hidden="1"/>
    </xf>
    <xf numFmtId="0" fontId="0" fillId="4" borderId="54" xfId="0" applyFill="1" applyBorder="1" applyAlignment="1" applyProtection="1">
      <alignment horizontal="center" vertical="top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8" fillId="4" borderId="0" xfId="0" applyFont="1" applyFill="1" applyAlignment="1" applyProtection="1">
      <alignment horizontal="left" vertical="top" wrapText="1"/>
      <protection hidden="1"/>
    </xf>
    <xf numFmtId="0" fontId="15" fillId="4" borderId="42" xfId="0" applyFont="1" applyFill="1" applyBorder="1" applyAlignment="1" applyProtection="1">
      <alignment horizontal="left" wrapText="1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0" fillId="4" borderId="42" xfId="0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Curva Granulométrica de la Mezcla
</a:t>
            </a:r>
          </a:p>
        </c:rich>
      </c:tx>
      <c:layout>
        <c:manualLayout>
          <c:xMode val="factor"/>
          <c:yMode val="factor"/>
          <c:x val="-0.22225"/>
          <c:y val="-0.02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2125"/>
          <c:w val="0.98525"/>
          <c:h val="0.94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EstGranulometria!$A$17:$A$26</c:f>
              <c:strCache/>
            </c:strRef>
          </c:cat>
          <c:val>
            <c:numRef>
              <c:f>EstGranulometria!$B$17:$B$26</c:f>
              <c:numCache/>
            </c:numRef>
          </c:val>
          <c:smooth val="1"/>
        </c:ser>
        <c:ser>
          <c:idx val="2"/>
          <c:order val="2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EstGranulometria!$A$17:$A$26</c:f>
              <c:strCache/>
            </c:strRef>
          </c:cat>
          <c:val>
            <c:numRef>
              <c:f>EstGranulometria!$F$17:$F$26</c:f>
              <c:numCache/>
            </c:numRef>
          </c:val>
          <c:smooth val="1"/>
        </c:ser>
        <c:axId val="43237981"/>
        <c:axId val="48645814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EstGranulometria!$A$17:$A$26</c:f>
              <c:strCache/>
            </c:strRef>
          </c:xVal>
          <c:yVal>
            <c:numRef>
              <c:f>EstGranulometria!$E$17:$E$26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EstGranulometria!$A$17:$A$26</c:f>
              <c:strCache/>
            </c:strRef>
          </c:xVal>
          <c:yVal>
            <c:numRef>
              <c:f>EstGranulometria!$G$17:$G$26</c:f>
              <c:numCache/>
            </c:numRef>
          </c:yVal>
          <c:smooth val="0"/>
        </c:ser>
        <c:axId val="43237981"/>
        <c:axId val="48645814"/>
      </c:scatterChart>
      <c:catAx>
        <c:axId val="432379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Tamiz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645814"/>
        <c:crosses val="autoZero"/>
        <c:auto val="1"/>
        <c:lblOffset val="100"/>
        <c:noMultiLvlLbl val="0"/>
      </c:catAx>
      <c:valAx>
        <c:axId val="48645814"/>
        <c:scaling>
          <c:orientation val="minMax"/>
          <c:max val="1.0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Pasa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3237981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Curva Granulométrica de la Mezcla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EstGranulometria!$A$17:$A$26</c:f>
              <c:strCache/>
            </c:strRef>
          </c:cat>
          <c:val>
            <c:numRef>
              <c:f>EstGranulometria!$D$17:$D$26</c:f>
              <c:numCache/>
            </c:numRef>
          </c: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EstGranulometria!$A$17:$A$26</c:f>
              <c:strCache/>
            </c:strRef>
          </c:cat>
          <c:val>
            <c:numRef>
              <c:f>EstGranulometria!$G$17:$G$26</c:f>
              <c:numCache/>
            </c:numRef>
          </c:val>
          <c:smooth val="1"/>
        </c:ser>
        <c:axId val="21347975"/>
        <c:axId val="8875024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EstGranulometria!$A$17:$A$26</c:f>
              <c:strCache/>
            </c:strRef>
          </c:xVal>
          <c:yVal>
            <c:numRef>
              <c:f>EstGranulometria!$F$17:$F$26</c:f>
              <c:numCache/>
            </c:numRef>
          </c:yVal>
          <c:smooth val="0"/>
        </c:ser>
        <c:axId val="21347975"/>
        <c:axId val="8875024"/>
      </c:scatterChart>
      <c:catAx>
        <c:axId val="213479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Tamiz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875024"/>
        <c:crosses val="autoZero"/>
        <c:auto val="1"/>
        <c:lblOffset val="100"/>
        <c:noMultiLvlLbl val="0"/>
      </c:catAx>
      <c:valAx>
        <c:axId val="8875024"/>
        <c:scaling>
          <c:orientation val="minMax"/>
          <c:max val="1.0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% Pasa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347975"/>
        <c:crossesAt val="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Curva Granulométrica de la Mezcla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935"/>
          <c:y val="-0.00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3525"/>
          <c:w val="0.95625"/>
          <c:h val="0.96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cat>
          <c:val>
            <c:numRef>
              <c:f>EstGranulometria!$B$17:$B$26</c:f>
              <c:numCache>
                <c:ptCount val="10"/>
                <c:pt idx="0">
                  <c:v>1</c:v>
                </c:pt>
                <c:pt idx="1">
                  <c:v>0.9981790323402527</c:v>
                </c:pt>
                <c:pt idx="2">
                  <c:v>0.9146683547229818</c:v>
                </c:pt>
                <c:pt idx="3">
                  <c:v>0.7324638869090834</c:v>
                </c:pt>
                <c:pt idx="4">
                  <c:v>0.5194124262111924</c:v>
                </c:pt>
                <c:pt idx="5">
                  <c:v>0.39984606702774134</c:v>
                </c:pt>
                <c:pt idx="6">
                  <c:v>0.2650303135603826</c:v>
                </c:pt>
                <c:pt idx="7">
                  <c:v>0.13299616173419115</c:v>
                </c:pt>
                <c:pt idx="8">
                  <c:v>0.05943219969951648</c:v>
                </c:pt>
                <c:pt idx="9">
                  <c:v>0.03387820658503265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cat>
          <c:val>
            <c:numRef>
              <c:f>EstGranulometria!$G$17:$G$26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0.29</c:v>
                </c:pt>
                <c:pt idx="7">
                  <c:v>0.23</c:v>
                </c:pt>
                <c:pt idx="8">
                  <c:v>0.16</c:v>
                </c:pt>
                <c:pt idx="9">
                  <c:v>0.1</c:v>
                </c:pt>
              </c:numCache>
            </c:numRef>
          </c:val>
          <c:smooth val="1"/>
        </c:ser>
        <c:axId val="36114321"/>
        <c:axId val="45250378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xVal>
          <c:yVal>
            <c:numRef>
              <c:f>EstGranulometria!$F$17:$F$26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0.5</c:v>
                </c:pt>
                <c:pt idx="5">
                  <c:v>0.35</c:v>
                </c:pt>
                <c:pt idx="6">
                  <c:v>0.18</c:v>
                </c:pt>
                <c:pt idx="7">
                  <c:v>0.13</c:v>
                </c:pt>
                <c:pt idx="8">
                  <c:v>0.08</c:v>
                </c:pt>
                <c:pt idx="9">
                  <c:v>0.04</c:v>
                </c:pt>
              </c:numCache>
            </c:numRef>
          </c:yVal>
          <c:smooth val="0"/>
        </c:ser>
        <c:axId val="36114321"/>
        <c:axId val="45250378"/>
      </c:scatterChart>
      <c:catAx>
        <c:axId val="361143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Tamiz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250378"/>
        <c:crosses val="autoZero"/>
        <c:auto val="1"/>
        <c:lblOffset val="100"/>
        <c:noMultiLvlLbl val="0"/>
      </c:catAx>
      <c:valAx>
        <c:axId val="45250378"/>
        <c:scaling>
          <c:orientation val="minMax"/>
          <c:max val="1.0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Pasa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114321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Curva Granulométrica de la Mezcla</a:t>
            </a:r>
            <a:r>
              <a:rPr lang="en-US" cap="none" sz="2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cat>
          <c:val>
            <c:numRef>
              <c:f>EstGranulometria!$B$17:$B$26</c:f>
              <c:numCache>
                <c:ptCount val="10"/>
                <c:pt idx="0">
                  <c:v>1</c:v>
                </c:pt>
                <c:pt idx="1">
                  <c:v>0.9981790323402527</c:v>
                </c:pt>
                <c:pt idx="2">
                  <c:v>0.9146683547229818</c:v>
                </c:pt>
                <c:pt idx="3">
                  <c:v>0.7324638869090834</c:v>
                </c:pt>
                <c:pt idx="4">
                  <c:v>0.5194124262111924</c:v>
                </c:pt>
                <c:pt idx="5">
                  <c:v>0.39984606702774134</c:v>
                </c:pt>
                <c:pt idx="6">
                  <c:v>0.2650303135603826</c:v>
                </c:pt>
                <c:pt idx="7">
                  <c:v>0.13299616173419115</c:v>
                </c:pt>
                <c:pt idx="8">
                  <c:v>0.05943219969951648</c:v>
                </c:pt>
                <c:pt idx="9">
                  <c:v>0.03387820658503265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cat>
          <c:val>
            <c:numRef>
              <c:f>EstGranulometria!$G$17:$G$26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0.29</c:v>
                </c:pt>
                <c:pt idx="7">
                  <c:v>0.23</c:v>
                </c:pt>
                <c:pt idx="8">
                  <c:v>0.16</c:v>
                </c:pt>
                <c:pt idx="9">
                  <c:v>0.1</c:v>
                </c:pt>
              </c:numCache>
            </c:numRef>
          </c:val>
          <c:smooth val="1"/>
        </c:ser>
        <c:axId val="29134715"/>
        <c:axId val="50066020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EstGranulometria!$A$17:$A$26</c:f>
              <c:strCache>
                <c:ptCount val="10"/>
                <c:pt idx="0">
                  <c:v>1"</c:v>
                </c:pt>
                <c:pt idx="1">
                  <c:v>3/4"</c:v>
                </c:pt>
                <c:pt idx="2">
                  <c:v>1/2"</c:v>
                </c:pt>
                <c:pt idx="3">
                  <c:v>3/8"</c:v>
                </c:pt>
                <c:pt idx="4">
                  <c:v>N° 4</c:v>
                </c:pt>
                <c:pt idx="5">
                  <c:v>N° 8</c:v>
                </c:pt>
                <c:pt idx="6">
                  <c:v>N° 30</c:v>
                </c:pt>
                <c:pt idx="7">
                  <c:v>N° 50</c:v>
                </c:pt>
                <c:pt idx="8">
                  <c:v>N° 100</c:v>
                </c:pt>
                <c:pt idx="9">
                  <c:v>N° 200</c:v>
                </c:pt>
              </c:strCache>
            </c:strRef>
          </c:xVal>
          <c:yVal>
            <c:numRef>
              <c:f>EstGranulometria!$F$17:$F$26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0.5</c:v>
                </c:pt>
                <c:pt idx="5">
                  <c:v>0.35</c:v>
                </c:pt>
                <c:pt idx="6">
                  <c:v>0.18</c:v>
                </c:pt>
                <c:pt idx="7">
                  <c:v>0.13</c:v>
                </c:pt>
                <c:pt idx="8">
                  <c:v>0.08</c:v>
                </c:pt>
                <c:pt idx="9">
                  <c:v>0.04</c:v>
                </c:pt>
              </c:numCache>
            </c:numRef>
          </c:yVal>
          <c:smooth val="0"/>
        </c:ser>
        <c:axId val="29134715"/>
        <c:axId val="50066020"/>
      </c:scatterChart>
      <c:catAx>
        <c:axId val="291347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Tamiz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0066020"/>
        <c:crosses val="autoZero"/>
        <c:auto val="1"/>
        <c:lblOffset val="100"/>
        <c:noMultiLvlLbl val="0"/>
      </c:catAx>
      <c:valAx>
        <c:axId val="50066020"/>
        <c:scaling>
          <c:orientation val="minMax"/>
          <c:max val="1.0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% Pasa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9134715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12</xdr:row>
      <xdr:rowOff>47625</xdr:rowOff>
    </xdr:from>
    <xdr:to>
      <xdr:col>16</xdr:col>
      <xdr:colOff>676275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5238750" y="2609850"/>
        <a:ext cx="4400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14</xdr:row>
      <xdr:rowOff>76200</xdr:rowOff>
    </xdr:from>
    <xdr:to>
      <xdr:col>12</xdr:col>
      <xdr:colOff>0</xdr:colOff>
      <xdr:row>31</xdr:row>
      <xdr:rowOff>104775</xdr:rowOff>
    </xdr:to>
    <xdr:graphicFrame>
      <xdr:nvGraphicFramePr>
        <xdr:cNvPr id="2" name="Chart 4"/>
        <xdr:cNvGraphicFramePr/>
      </xdr:nvGraphicFramePr>
      <xdr:xfrm>
        <a:off x="6677025" y="3152775"/>
        <a:ext cx="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219075</xdr:rowOff>
    </xdr:from>
    <xdr:to>
      <xdr:col>4</xdr:col>
      <xdr:colOff>1028700</xdr:colOff>
      <xdr:row>50</xdr:row>
      <xdr:rowOff>219075</xdr:rowOff>
    </xdr:to>
    <xdr:graphicFrame>
      <xdr:nvGraphicFramePr>
        <xdr:cNvPr id="1" name="Chart 3"/>
        <xdr:cNvGraphicFramePr/>
      </xdr:nvGraphicFramePr>
      <xdr:xfrm>
        <a:off x="0" y="8639175"/>
        <a:ext cx="5495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4</xdr:col>
      <xdr:colOff>1028700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721995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B1">
      <selection activeCell="C2" sqref="C2:G2"/>
    </sheetView>
  </sheetViews>
  <sheetFormatPr defaultColWidth="11.421875" defaultRowHeight="12.75"/>
  <cols>
    <col min="1" max="1" width="15.7109375" style="10" customWidth="1"/>
    <col min="2" max="7" width="15.7109375" style="1" customWidth="1"/>
    <col min="8" max="8" width="15.7109375" style="39" hidden="1" customWidth="1"/>
    <col min="9" max="10" width="15.7109375" style="1" customWidth="1"/>
    <col min="11" max="16384" width="11.421875" style="1" customWidth="1"/>
  </cols>
  <sheetData>
    <row r="1" spans="1:8" s="178" customFormat="1" ht="24" customHeight="1">
      <c r="A1" s="175" t="s">
        <v>29</v>
      </c>
      <c r="B1" s="268" t="s">
        <v>101</v>
      </c>
      <c r="C1" s="269"/>
      <c r="D1" s="270"/>
      <c r="E1" s="176" t="s">
        <v>31</v>
      </c>
      <c r="F1" s="277">
        <v>38936</v>
      </c>
      <c r="G1" s="277"/>
      <c r="H1" s="177"/>
    </row>
    <row r="2" spans="1:8" s="23" customFormat="1" ht="24" customHeight="1">
      <c r="A2" s="273" t="s">
        <v>40</v>
      </c>
      <c r="B2" s="273"/>
      <c r="C2" s="274"/>
      <c r="D2" s="275"/>
      <c r="E2" s="275"/>
      <c r="F2" s="275"/>
      <c r="G2" s="276"/>
      <c r="H2" s="38"/>
    </row>
    <row r="3" spans="1:10" ht="18" customHeight="1">
      <c r="A3" s="15" t="s">
        <v>20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90"/>
      <c r="I3" s="17"/>
      <c r="J3" s="17"/>
    </row>
    <row r="4" spans="1:10" ht="18" customHeight="1">
      <c r="A4" s="14" t="s">
        <v>23</v>
      </c>
      <c r="B4" s="113" t="s">
        <v>97</v>
      </c>
      <c r="C4" s="114" t="s">
        <v>98</v>
      </c>
      <c r="D4" s="115" t="s">
        <v>99</v>
      </c>
      <c r="E4" s="114" t="s">
        <v>100</v>
      </c>
      <c r="F4" s="115" t="s">
        <v>47</v>
      </c>
      <c r="G4" s="114" t="s">
        <v>52</v>
      </c>
      <c r="H4" s="91"/>
      <c r="I4" s="17"/>
      <c r="J4" s="17"/>
    </row>
    <row r="5" spans="1:10" s="178" customFormat="1" ht="36" customHeight="1">
      <c r="A5" s="175" t="s">
        <v>18</v>
      </c>
      <c r="B5" s="261" t="s">
        <v>96</v>
      </c>
      <c r="C5" s="232" t="s">
        <v>96</v>
      </c>
      <c r="D5" s="231" t="s">
        <v>96</v>
      </c>
      <c r="E5" s="232"/>
      <c r="F5" s="231"/>
      <c r="G5" s="232" t="s">
        <v>96</v>
      </c>
      <c r="H5" s="179"/>
      <c r="I5" s="180"/>
      <c r="J5" s="180"/>
    </row>
    <row r="6" spans="1:10" s="3" customFormat="1" ht="30" customHeight="1">
      <c r="A6" s="41" t="s">
        <v>21</v>
      </c>
      <c r="B6" s="12">
        <v>2716.1</v>
      </c>
      <c r="C6" s="13">
        <v>2514.1</v>
      </c>
      <c r="D6" s="12">
        <v>2245</v>
      </c>
      <c r="E6" s="13">
        <v>1872.8</v>
      </c>
      <c r="F6" s="12">
        <v>2473.6</v>
      </c>
      <c r="G6" s="13">
        <v>2020.9</v>
      </c>
      <c r="H6" s="92">
        <f>+B6*EstGranulometria!B12+EstGranulometria!C12*Datos!C6+Datos!D6*EstGranulometria!D12+EstGranulometria!E12*Datos!E6+Datos!F6*EstGranulometria!F12+EstGranulometria!G12*Datos!G6</f>
        <v>2107.6706</v>
      </c>
      <c r="I6" s="271" t="s">
        <v>30</v>
      </c>
      <c r="J6" s="272"/>
    </row>
    <row r="7" spans="1:10" s="85" customFormat="1" ht="22.5" customHeight="1">
      <c r="A7" s="41" t="s">
        <v>0</v>
      </c>
      <c r="B7" s="41" t="s">
        <v>12</v>
      </c>
      <c r="C7" s="41" t="s">
        <v>12</v>
      </c>
      <c r="D7" s="41" t="s">
        <v>12</v>
      </c>
      <c r="E7" s="41" t="s">
        <v>12</v>
      </c>
      <c r="F7" s="41" t="s">
        <v>12</v>
      </c>
      <c r="G7" s="41" t="s">
        <v>12</v>
      </c>
      <c r="H7" s="93"/>
      <c r="I7" s="41" t="s">
        <v>15</v>
      </c>
      <c r="J7" s="41" t="s">
        <v>14</v>
      </c>
    </row>
    <row r="8" spans="1:10" s="11" customFormat="1" ht="18" customHeight="1">
      <c r="A8" s="15" t="s">
        <v>1</v>
      </c>
      <c r="B8" s="224">
        <v>0</v>
      </c>
      <c r="C8" s="225">
        <v>0</v>
      </c>
      <c r="D8" s="224">
        <v>0</v>
      </c>
      <c r="E8" s="225">
        <v>0</v>
      </c>
      <c r="F8" s="224">
        <v>0</v>
      </c>
      <c r="G8" s="225">
        <v>0</v>
      </c>
      <c r="H8" s="35"/>
      <c r="I8" s="229">
        <v>1</v>
      </c>
      <c r="J8" s="229">
        <v>1</v>
      </c>
    </row>
    <row r="9" spans="1:10" s="11" customFormat="1" ht="18" customHeight="1">
      <c r="A9" s="15" t="s">
        <v>2</v>
      </c>
      <c r="B9" s="224">
        <v>40.4</v>
      </c>
      <c r="C9" s="225">
        <v>0</v>
      </c>
      <c r="D9" s="224">
        <v>0</v>
      </c>
      <c r="E9" s="225">
        <v>0</v>
      </c>
      <c r="F9" s="224">
        <v>0</v>
      </c>
      <c r="G9" s="225">
        <v>0</v>
      </c>
      <c r="H9" s="35"/>
      <c r="I9" s="229">
        <v>1</v>
      </c>
      <c r="J9" s="229">
        <v>1</v>
      </c>
    </row>
    <row r="10" spans="1:10" s="11" customFormat="1" ht="18" customHeight="1">
      <c r="A10" s="15" t="s">
        <v>3</v>
      </c>
      <c r="B10" s="224">
        <v>1317</v>
      </c>
      <c r="C10" s="225">
        <v>5.4</v>
      </c>
      <c r="D10" s="224">
        <v>149.7</v>
      </c>
      <c r="E10" s="225">
        <v>0</v>
      </c>
      <c r="F10" s="224">
        <v>0</v>
      </c>
      <c r="G10" s="225">
        <v>0</v>
      </c>
      <c r="H10" s="35"/>
      <c r="I10" s="229">
        <v>0.8</v>
      </c>
      <c r="J10" s="229">
        <v>1</v>
      </c>
    </row>
    <row r="11" spans="1:10" s="11" customFormat="1" ht="18" customHeight="1">
      <c r="A11" s="15" t="s">
        <v>4</v>
      </c>
      <c r="B11" s="224">
        <v>545.4</v>
      </c>
      <c r="C11" s="225">
        <v>152.2</v>
      </c>
      <c r="D11" s="224">
        <v>977.1</v>
      </c>
      <c r="E11" s="225">
        <v>0</v>
      </c>
      <c r="F11" s="224">
        <v>0</v>
      </c>
      <c r="G11" s="225">
        <v>0</v>
      </c>
      <c r="H11" s="35"/>
      <c r="I11" s="229">
        <v>0.7</v>
      </c>
      <c r="J11" s="229">
        <v>0.9</v>
      </c>
    </row>
    <row r="12" spans="1:10" s="11" customFormat="1" ht="18" customHeight="1">
      <c r="A12" s="15" t="s">
        <v>5</v>
      </c>
      <c r="B12" s="224">
        <v>759.9</v>
      </c>
      <c r="C12" s="225">
        <v>1903.7</v>
      </c>
      <c r="D12" s="224">
        <v>1071.8</v>
      </c>
      <c r="E12" s="225">
        <v>7.4</v>
      </c>
      <c r="F12" s="224">
        <v>3.6</v>
      </c>
      <c r="G12" s="225">
        <v>31</v>
      </c>
      <c r="H12" s="35"/>
      <c r="I12" s="229">
        <v>0.5</v>
      </c>
      <c r="J12" s="229">
        <v>0.7</v>
      </c>
    </row>
    <row r="13" spans="1:10" s="11" customFormat="1" ht="18" customHeight="1">
      <c r="A13" s="15" t="s">
        <v>6</v>
      </c>
      <c r="B13" s="224">
        <v>33.4</v>
      </c>
      <c r="C13" s="225">
        <v>387</v>
      </c>
      <c r="D13" s="224">
        <v>40.2</v>
      </c>
      <c r="E13" s="225">
        <v>110.6</v>
      </c>
      <c r="F13" s="224">
        <v>2.4</v>
      </c>
      <c r="G13" s="225">
        <v>606.9</v>
      </c>
      <c r="H13" s="35"/>
      <c r="I13" s="229">
        <v>0.35</v>
      </c>
      <c r="J13" s="229">
        <v>0.5</v>
      </c>
    </row>
    <row r="14" spans="1:10" s="11" customFormat="1" ht="18" customHeight="1">
      <c r="A14" s="15" t="s">
        <v>7</v>
      </c>
      <c r="B14" s="224">
        <v>0.8</v>
      </c>
      <c r="C14" s="225">
        <v>31.2</v>
      </c>
      <c r="D14" s="224">
        <v>0.9</v>
      </c>
      <c r="E14" s="225">
        <v>960.2</v>
      </c>
      <c r="F14" s="224">
        <v>57.4</v>
      </c>
      <c r="G14" s="225">
        <v>715</v>
      </c>
      <c r="H14" s="35"/>
      <c r="I14" s="229">
        <v>0.18</v>
      </c>
      <c r="J14" s="229">
        <v>0.29</v>
      </c>
    </row>
    <row r="15" spans="1:10" s="11" customFormat="1" ht="18" customHeight="1">
      <c r="A15" s="15" t="s">
        <v>8</v>
      </c>
      <c r="B15" s="224">
        <v>1</v>
      </c>
      <c r="C15" s="225">
        <v>1.6</v>
      </c>
      <c r="D15" s="224">
        <v>0.4</v>
      </c>
      <c r="E15" s="225">
        <v>535.2</v>
      </c>
      <c r="F15" s="224">
        <v>1669.4</v>
      </c>
      <c r="G15" s="225">
        <v>187.9</v>
      </c>
      <c r="H15" s="35"/>
      <c r="I15" s="229">
        <v>0.13</v>
      </c>
      <c r="J15" s="229">
        <v>0.23</v>
      </c>
    </row>
    <row r="16" spans="1:10" s="11" customFormat="1" ht="18" customHeight="1">
      <c r="A16" s="15" t="s">
        <v>9</v>
      </c>
      <c r="B16" s="224">
        <v>2.1</v>
      </c>
      <c r="C16" s="225">
        <v>3.1</v>
      </c>
      <c r="D16" s="224">
        <v>1.4</v>
      </c>
      <c r="E16" s="225">
        <v>152.2</v>
      </c>
      <c r="F16" s="224">
        <v>705.4</v>
      </c>
      <c r="G16" s="225">
        <v>174.7</v>
      </c>
      <c r="H16" s="35"/>
      <c r="I16" s="229">
        <v>0.08</v>
      </c>
      <c r="J16" s="229">
        <v>0.16</v>
      </c>
    </row>
    <row r="17" spans="1:10" s="11" customFormat="1" ht="18" customHeight="1">
      <c r="A17" s="15" t="s">
        <v>10</v>
      </c>
      <c r="B17" s="224">
        <v>4.7</v>
      </c>
      <c r="C17" s="225">
        <v>5.7</v>
      </c>
      <c r="D17" s="224">
        <v>1.5</v>
      </c>
      <c r="E17" s="225">
        <v>48.9</v>
      </c>
      <c r="F17" s="224">
        <v>25.8</v>
      </c>
      <c r="G17" s="225">
        <v>128.5</v>
      </c>
      <c r="H17" s="35"/>
      <c r="I17" s="230">
        <v>0.04</v>
      </c>
      <c r="J17" s="229">
        <v>0.1</v>
      </c>
    </row>
    <row r="18" spans="1:8" s="11" customFormat="1" ht="18" customHeight="1" hidden="1">
      <c r="A18" s="15" t="s">
        <v>17</v>
      </c>
      <c r="B18" s="226">
        <f aca="true" t="shared" si="0" ref="B18:G18">SUM(B8:B17)</f>
        <v>2704.7000000000003</v>
      </c>
      <c r="C18" s="227">
        <f t="shared" si="0"/>
        <v>2489.8999999999996</v>
      </c>
      <c r="D18" s="226">
        <f t="shared" si="0"/>
        <v>2243</v>
      </c>
      <c r="E18" s="227">
        <f t="shared" si="0"/>
        <v>1814.5000000000002</v>
      </c>
      <c r="F18" s="226">
        <f t="shared" si="0"/>
        <v>2464.0000000000005</v>
      </c>
      <c r="G18" s="227">
        <f t="shared" si="0"/>
        <v>1844.0000000000002</v>
      </c>
      <c r="H18" s="94"/>
    </row>
    <row r="19" spans="1:10" s="11" customFormat="1" ht="18" customHeight="1">
      <c r="A19" s="15" t="s">
        <v>11</v>
      </c>
      <c r="B19" s="228">
        <f aca="true" t="shared" si="1" ref="B19:G19">IF(B6="","",B6-B18)</f>
        <v>11.399999999999636</v>
      </c>
      <c r="C19" s="228">
        <f t="shared" si="1"/>
        <v>24.200000000000273</v>
      </c>
      <c r="D19" s="228">
        <f t="shared" si="1"/>
        <v>2</v>
      </c>
      <c r="E19" s="228">
        <f t="shared" si="1"/>
        <v>58.29999999999973</v>
      </c>
      <c r="F19" s="228">
        <f t="shared" si="1"/>
        <v>9.599999999999454</v>
      </c>
      <c r="G19" s="228">
        <f t="shared" si="1"/>
        <v>176.89999999999986</v>
      </c>
      <c r="H19" s="94"/>
      <c r="J19" s="19"/>
    </row>
    <row r="20" spans="1:10" s="7" customFormat="1" ht="12.75">
      <c r="A20" s="37"/>
      <c r="B20" s="16"/>
      <c r="C20" s="16"/>
      <c r="D20" s="16"/>
      <c r="E20" s="16"/>
      <c r="F20" s="16"/>
      <c r="G20" s="16"/>
      <c r="H20" s="40"/>
      <c r="I20" s="16"/>
      <c r="J20" s="16"/>
    </row>
    <row r="21" spans="1:10" ht="12.75">
      <c r="A21" s="18"/>
      <c r="B21" s="17"/>
      <c r="C21" s="17"/>
      <c r="D21" s="17"/>
      <c r="E21" s="17"/>
      <c r="F21" s="17"/>
      <c r="G21" s="17"/>
      <c r="I21" s="17"/>
      <c r="J21" s="17"/>
    </row>
    <row r="22" spans="1:10" ht="12.75">
      <c r="A22" s="18"/>
      <c r="B22" s="17"/>
      <c r="C22" s="17"/>
      <c r="D22" s="17"/>
      <c r="E22" s="17"/>
      <c r="F22" s="17"/>
      <c r="G22" s="17"/>
      <c r="I22" s="17"/>
      <c r="J22" s="17"/>
    </row>
    <row r="23" spans="1:10" ht="12.75">
      <c r="A23" s="18"/>
      <c r="B23" s="17"/>
      <c r="C23" s="17"/>
      <c r="D23" s="17"/>
      <c r="E23" s="17"/>
      <c r="F23" s="17"/>
      <c r="G23" s="17"/>
      <c r="I23" s="17"/>
      <c r="J23" s="17"/>
    </row>
    <row r="24" spans="1:10" ht="12.75">
      <c r="A24" s="18"/>
      <c r="B24" s="17"/>
      <c r="C24" s="17"/>
      <c r="D24" s="17"/>
      <c r="E24" s="17"/>
      <c r="F24" s="17"/>
      <c r="G24" s="17"/>
      <c r="I24" s="17"/>
      <c r="J24" s="17"/>
    </row>
    <row r="25" spans="1:10" ht="12.75">
      <c r="A25" s="18"/>
      <c r="B25" s="17"/>
      <c r="C25" s="17"/>
      <c r="D25" s="17"/>
      <c r="E25" s="17"/>
      <c r="F25" s="17"/>
      <c r="G25" s="17"/>
      <c r="I25" s="17"/>
      <c r="J25" s="17"/>
    </row>
    <row r="26" spans="1:10" ht="12.75">
      <c r="A26" s="18"/>
      <c r="B26" s="17"/>
      <c r="C26" s="17"/>
      <c r="D26" s="17"/>
      <c r="E26" s="17"/>
      <c r="F26" s="17"/>
      <c r="G26" s="17"/>
      <c r="I26" s="17"/>
      <c r="J26" s="17"/>
    </row>
    <row r="27" spans="1:10" ht="12.75">
      <c r="A27" s="18"/>
      <c r="B27" s="17"/>
      <c r="C27" s="17"/>
      <c r="D27" s="17"/>
      <c r="E27" s="17"/>
      <c r="F27" s="17"/>
      <c r="G27" s="17"/>
      <c r="I27" s="17"/>
      <c r="J27" s="17"/>
    </row>
  </sheetData>
  <sheetProtection password="C1A9" sheet="1" objects="1" scenarios="1"/>
  <mergeCells count="5">
    <mergeCell ref="B1:D1"/>
    <mergeCell ref="I6:J6"/>
    <mergeCell ref="A2:B2"/>
    <mergeCell ref="C2:G2"/>
    <mergeCell ref="F1:G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9"/>
  <sheetViews>
    <sheetView zoomScale="75" zoomScaleNormal="75" workbookViewId="0" topLeftCell="A9">
      <selection activeCell="B19" sqref="B19"/>
    </sheetView>
  </sheetViews>
  <sheetFormatPr defaultColWidth="11.421875" defaultRowHeight="12.75"/>
  <cols>
    <col min="1" max="1" width="16.28125" style="10" customWidth="1"/>
    <col min="2" max="2" width="10.28125" style="10" customWidth="1"/>
    <col min="3" max="7" width="10.28125" style="1" customWidth="1"/>
    <col min="8" max="9" width="15.421875" style="1" hidden="1" customWidth="1"/>
    <col min="10" max="10" width="16.00390625" style="1" hidden="1" customWidth="1"/>
    <col min="11" max="11" width="22.140625" style="1" customWidth="1"/>
    <col min="12" max="12" width="14.28125" style="1" hidden="1" customWidth="1"/>
    <col min="13" max="13" width="0" style="17" hidden="1" customWidth="1"/>
    <col min="14" max="32" width="11.421875" style="17" customWidth="1"/>
    <col min="33" max="16384" width="11.421875" style="1" customWidth="1"/>
  </cols>
  <sheetData>
    <row r="1" spans="1:32" s="85" customFormat="1" ht="22.5" customHeight="1" thickBot="1">
      <c r="A1" s="131" t="s">
        <v>0</v>
      </c>
      <c r="B1" s="284" t="s">
        <v>35</v>
      </c>
      <c r="C1" s="285"/>
      <c r="D1" s="285"/>
      <c r="E1" s="285"/>
      <c r="F1" s="285"/>
      <c r="G1" s="286"/>
      <c r="H1" s="86" t="s">
        <v>36</v>
      </c>
      <c r="I1" s="87"/>
      <c r="J1" s="84" t="s">
        <v>37</v>
      </c>
      <c r="K1" s="88" t="str">
        <f aca="true" t="shared" si="0" ref="K1:K11">+C16</f>
        <v>Observación</v>
      </c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11" customFormat="1" ht="15" customHeight="1">
      <c r="A2" s="146" t="s">
        <v>1</v>
      </c>
      <c r="B2" s="147">
        <f>IF(Datos!B8=0,"",Datos!B8*$B$12/$H2)</f>
      </c>
      <c r="C2" s="148">
        <f>IF(Datos!C8=0,"",Datos!C8*$C$12/$H2)</f>
      </c>
      <c r="D2" s="148">
        <f>IF(Datos!D8=0,"",Datos!D8*$D$12/$H2)</f>
      </c>
      <c r="E2" s="148">
        <f>IF(Datos!E8=0,"",Datos!E8*$E$12/$H2)</f>
      </c>
      <c r="F2" s="148">
        <f>IF(Datos!F8=0,"",Datos!F8*$F$12/$H2)</f>
      </c>
      <c r="G2" s="149">
        <f>IF(Datos!G8=0,"",Datos!G8*$G$12/$H2)</f>
      </c>
      <c r="H2" s="72">
        <f>+Datos!B8*EstGranulometria!$B$12+EstGranulometria!$C$12*Datos!C8+EstGranulometria!$D$12*Datos!D8+EstGranulometria!$E$12*Datos!E8+EstGranulometria!$F$12*Datos!F8+EstGranulometria!$G$12*Datos!G8</f>
        <v>0</v>
      </c>
      <c r="I2" s="62"/>
      <c r="J2" s="77">
        <f>+Datos!H6-EstGranulometria!H2</f>
        <v>2107.6706</v>
      </c>
      <c r="K2" s="133" t="str">
        <f t="shared" si="0"/>
        <v>cumple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1" customFormat="1" ht="15" customHeight="1">
      <c r="A3" s="78" t="s">
        <v>2</v>
      </c>
      <c r="B3" s="73">
        <f>IF(Datos!B9=0,"",Datos!B9*$B$12/$H3)</f>
        <v>1</v>
      </c>
      <c r="C3" s="44">
        <f>IF(Datos!C9=0,"",Datos!C9*$C$12/$H3)</f>
      </c>
      <c r="D3" s="44">
        <f>IF(Datos!D9=0,"",Datos!D9*$D$12/$H3)</f>
      </c>
      <c r="E3" s="44">
        <f>IF(Datos!E9=0,"",Datos!E9*$E$12/$H3)</f>
      </c>
      <c r="F3" s="44">
        <f>IF(Datos!F9=0,"",Datos!F9*$F$12/$H3)</f>
      </c>
      <c r="G3" s="58">
        <f>IF(Datos!G9="","",Datos!G9*$G$12/$H3)</f>
        <v>0</v>
      </c>
      <c r="H3" s="72">
        <f>+Datos!B9*EstGranulometria!$B$12+EstGranulometria!$C$12*Datos!C9+EstGranulometria!$D$12*Datos!D9+EstGranulometria!$E$12*Datos!E9+EstGranulometria!$F$12*Datos!F9+EstGranulometria!$G$12*Datos!G9</f>
        <v>3.838</v>
      </c>
      <c r="I3" s="34"/>
      <c r="J3" s="76">
        <f>+J2-H3</f>
        <v>2103.8325999999997</v>
      </c>
      <c r="K3" s="132" t="str">
        <f t="shared" si="0"/>
        <v>Tiene 0,1% de menos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11" customFormat="1" ht="15" customHeight="1">
      <c r="A4" s="79" t="s">
        <v>3</v>
      </c>
      <c r="B4" s="74">
        <f>IF(Datos!B10=0,"",Datos!B10*$B$12/$H4)</f>
        <v>0.7108281774641645</v>
      </c>
      <c r="C4" s="61">
        <f>IF(Datos!C10=0,"",Datos!C10*$C$12/$H4)</f>
        <v>0</v>
      </c>
      <c r="D4" s="61">
        <f>IF(Datos!D10=0,"",Datos!D10*$D$12/$H4)</f>
        <v>0.28917182253583545</v>
      </c>
      <c r="E4" s="61">
        <f>IF(Datos!E10=0,"",Datos!E10*$E$12/$H4)</f>
      </c>
      <c r="F4" s="61">
        <f>IF(Datos!F10=0,"",Datos!F10*$F$12/$H4)</f>
      </c>
      <c r="G4" s="75">
        <f>IF(Datos!G10="","",Datos!G10*$G$12/$H4)</f>
        <v>0</v>
      </c>
      <c r="H4" s="72">
        <f>+Datos!B10*EstGranulometria!$B$12+EstGranulometria!$C$12*Datos!C10+EstGranulometria!$D$12*Datos!D10+EstGranulometria!$E$12*Datos!E10+EstGranulometria!$F$12*Datos!F10+EstGranulometria!$G$12*Datos!G10</f>
        <v>176.013</v>
      </c>
      <c r="I4" s="62"/>
      <c r="J4" s="77">
        <f aca="true" t="shared" si="1" ref="J4:J11">+J3-H4</f>
        <v>1927.8195999999998</v>
      </c>
      <c r="K4" s="133" t="str">
        <f t="shared" si="0"/>
        <v>cumple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1" customFormat="1" ht="15" customHeight="1">
      <c r="A5" s="78" t="s">
        <v>4</v>
      </c>
      <c r="B5" s="73">
        <f>IF(Datos!B11=0,"",Datos!B11*$B$12/$H5)</f>
        <v>0.13492020092337254</v>
      </c>
      <c r="C5" s="44">
        <f>IF(Datos!C11=0,"",Datos!C11*$C$12/$H5)</f>
        <v>0</v>
      </c>
      <c r="D5" s="44">
        <f>IF(Datos!D11=0,"",Datos!D11*$D$12/$H5)</f>
        <v>0.8650797990766275</v>
      </c>
      <c r="E5" s="44">
        <f>IF(Datos!E11=0,"",Datos!E11*$E$12/$H5)</f>
      </c>
      <c r="F5" s="44">
        <f>IF(Datos!F11=0,"",Datos!F11*$F$12/$H5)</f>
      </c>
      <c r="G5" s="58">
        <f>IF(Datos!G11="","",Datos!G11*$G$12/$H5)</f>
        <v>0</v>
      </c>
      <c r="H5" s="71">
        <f>+Datos!B11*EstGranulometria!$B$12+EstGranulometria!$C$12*Datos!C11+EstGranulometria!$D$12*Datos!D11+EstGranulometria!$E$12*Datos!E11+EstGranulometria!$F$12*Datos!F11+EstGranulometria!$G$12*Datos!G11</f>
        <v>384.02700000000004</v>
      </c>
      <c r="I5" s="34"/>
      <c r="J5" s="76">
        <f t="shared" si="1"/>
        <v>1543.7925999999998</v>
      </c>
      <c r="K5" s="132" t="str">
        <f t="shared" si="0"/>
        <v>cumple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1" customFormat="1" ht="15" customHeight="1">
      <c r="A6" s="79" t="s">
        <v>5</v>
      </c>
      <c r="B6" s="74">
        <f>IF(Datos!B12=0,"",Datos!B12*$B$12/$H6)</f>
        <v>0.16076547799617097</v>
      </c>
      <c r="C6" s="61">
        <f>IF(Datos!C12=0,"",Datos!C12*$C$12/$H6)</f>
        <v>0</v>
      </c>
      <c r="D6" s="61">
        <f>IF(Datos!D12=0,"",Datos!D12*$D$12/$H6)</f>
        <v>0.8115315639528837</v>
      </c>
      <c r="E6" s="61">
        <f>IF(Datos!E12=0,"",Datos!E12*$E$12/$H6)</f>
        <v>0</v>
      </c>
      <c r="F6" s="61">
        <f>IF(Datos!F12=0,"",Datos!F12*$F$12/$H6)</f>
        <v>0.000986098637032636</v>
      </c>
      <c r="G6" s="75">
        <f>IF(Datos!G12="","",Datos!G12*$G$12/$H6)</f>
        <v>0.026716859413912674</v>
      </c>
      <c r="H6" s="72">
        <f>+Datos!B12*EstGranulometria!$B$12+EstGranulometria!$C$12*Datos!C12+EstGranulometria!$D$12*Datos!D12+EstGranulometria!$E$12*Datos!E12+EstGranulometria!$F$12*Datos!F12+EstGranulometria!$G$12*Datos!G12</f>
        <v>449.0423</v>
      </c>
      <c r="I6" s="62"/>
      <c r="J6" s="77">
        <f t="shared" si="1"/>
        <v>1094.7502999999997</v>
      </c>
      <c r="K6" s="133" t="str">
        <f t="shared" si="0"/>
        <v>cumple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1" customFormat="1" ht="15" customHeight="1">
      <c r="A7" s="78" t="s">
        <v>6</v>
      </c>
      <c r="B7" s="73">
        <f>IF(Datos!B13=0,"",Datos!B13*$B$12/$H7)</f>
        <v>0.01259094507482942</v>
      </c>
      <c r="C7" s="44">
        <f>IF(Datos!C13=0,"",Datos!C13*$C$12/$H7)</f>
        <v>0</v>
      </c>
      <c r="D7" s="44">
        <f>IF(Datos!D13=0,"",Datos!D13*$D$12/$H7)</f>
        <v>0.05423669627569132</v>
      </c>
      <c r="E7" s="44">
        <f>IF(Datos!E13=0,"",Datos!E13*$E$12/$H7)</f>
        <v>0</v>
      </c>
      <c r="F7" s="44">
        <f>IF(Datos!F13=0,"",Datos!F13*$F$12/$H7)</f>
        <v>0.001171398356788416</v>
      </c>
      <c r="G7" s="58">
        <f>IF(Datos!G13="","",Datos!G13*$G$12/$H7)</f>
        <v>0.9320009602926909</v>
      </c>
      <c r="H7" s="71">
        <f>+Datos!B13*EstGranulometria!$B$12+EstGranulometria!$C$12*Datos!C13+EstGranulometria!$D$12*Datos!D13+EstGranulometria!$E$12*Datos!E13+EstGranulometria!$F$12*Datos!F13+EstGranulometria!$G$12*Datos!G13</f>
        <v>252.0065</v>
      </c>
      <c r="I7" s="34"/>
      <c r="J7" s="76">
        <f t="shared" si="1"/>
        <v>842.7437999999997</v>
      </c>
      <c r="K7" s="132" t="str">
        <f t="shared" si="0"/>
        <v>cumple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1" customFormat="1" ht="15" customHeight="1">
      <c r="A8" s="79" t="s">
        <v>7</v>
      </c>
      <c r="B8" s="74">
        <f>IF(Datos!B14=0,"",Datos!B14*$B$12/$H8)</f>
        <v>0.000267467003018154</v>
      </c>
      <c r="C8" s="61">
        <f>IF(Datos!C14=0,"",Datos!C14*$C$12/$H8)</f>
        <v>0</v>
      </c>
      <c r="D8" s="61">
        <f>IF(Datos!D14=0,"",Datos!D14*$D$12/$H8)</f>
        <v>0.0010769066174151991</v>
      </c>
      <c r="E8" s="61">
        <f>IF(Datos!E14=0,"",Datos!E14*$E$12/$H8)</f>
        <v>0</v>
      </c>
      <c r="F8" s="61">
        <f>IF(Datos!F14=0,"",Datos!F14*$F$12/$H8)</f>
        <v>0.024846980719852245</v>
      </c>
      <c r="G8" s="75">
        <f>IF(Datos!G14="","",Datos!G14*$G$12/$H8)</f>
        <v>0.9738086456597144</v>
      </c>
      <c r="H8" s="72">
        <f>+Datos!B14*EstGranulometria!$B$12+EstGranulometria!$C$12*Datos!C14+EstGranulometria!$D$12*Datos!D14+EstGranulometria!$E$12*Datos!E14+EstGranulometria!$F$12*Datos!F14+EstGranulometria!$G$12*Datos!G14</f>
        <v>284.1472</v>
      </c>
      <c r="I8" s="62"/>
      <c r="J8" s="77">
        <f t="shared" si="1"/>
        <v>558.5965999999997</v>
      </c>
      <c r="K8" s="133" t="str">
        <f t="shared" si="0"/>
        <v>cumple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1" customFormat="1" ht="15" customHeight="1">
      <c r="A9" s="78" t="s">
        <v>8</v>
      </c>
      <c r="B9" s="73">
        <f>IF(Datos!B15=0,"",Datos!B15*$B$12/$H9)</f>
        <v>0.0003413772596030321</v>
      </c>
      <c r="C9" s="44">
        <f>IF(Datos!C15=0,"",Datos!C15*$C$12/$H9)</f>
        <v>0</v>
      </c>
      <c r="D9" s="44">
        <f>IF(Datos!D15=0,"",Datos!D15*$D$12/$H9)</f>
        <v>0.000488708497958025</v>
      </c>
      <c r="E9" s="44">
        <f>IF(Datos!E15=0,"",Datos!E15*$E$12/$H9)</f>
        <v>0</v>
      </c>
      <c r="F9" s="44">
        <f>IF(Datos!F15=0,"",Datos!F15*$F$12/$H9)</f>
        <v>0.737864307929475</v>
      </c>
      <c r="G9" s="58">
        <f>IF(Datos!G15="","",Datos!G15*$G$12/$H9)</f>
        <v>0.2613056063129639</v>
      </c>
      <c r="H9" s="71">
        <f>+Datos!B15*EstGranulometria!$B$12+EstGranulometria!$C$12*Datos!C15+EstGranulometria!$D$12*Datos!D15+EstGranulometria!$E$12*Datos!E15+EstGranulometria!$F$12*Datos!F15+EstGranulometria!$G$12*Datos!G15</f>
        <v>278.28450000000004</v>
      </c>
      <c r="I9" s="34"/>
      <c r="J9" s="76">
        <f t="shared" si="1"/>
        <v>280.3120999999997</v>
      </c>
      <c r="K9" s="132" t="str">
        <f t="shared" si="0"/>
        <v>cumple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1" customFormat="1" ht="15" customHeight="1">
      <c r="A10" s="79" t="s">
        <v>9</v>
      </c>
      <c r="B10" s="74">
        <f>IF(Datos!B16=0,"",Datos!B16*$B$12/$H10)</f>
        <v>0.0012866933335741182</v>
      </c>
      <c r="C10" s="61">
        <f>IF(Datos!C16=0,"",Datos!C16*$C$12/$H10)</f>
        <v>0</v>
      </c>
      <c r="D10" s="61">
        <f>IF(Datos!D16=0,"",Datos!D16*$D$12/$H10)</f>
        <v>0.003070005146773334</v>
      </c>
      <c r="E10" s="61">
        <f>IF(Datos!E16=0,"",Datos!E16*$E$12/$H10)</f>
        <v>0</v>
      </c>
      <c r="F10" s="61">
        <f>IF(Datos!F16=0,"",Datos!F16*$F$12/$H10)</f>
        <v>0.5595935725959473</v>
      </c>
      <c r="G10" s="75">
        <f>IF(Datos!G16="","",Datos!G16*$G$12/$H10)</f>
        <v>0.4360497289237052</v>
      </c>
      <c r="H10" s="72">
        <f>+Datos!B16*EstGranulometria!$B$12+EstGranulometria!$C$12*Datos!C16+EstGranulometria!$D$12*Datos!D16+EstGranulometria!$E$12*Datos!E16+EstGranulometria!$F$12*Datos!F16+EstGranulometria!$G$12*Datos!G16</f>
        <v>155.0486</v>
      </c>
      <c r="I10" s="62"/>
      <c r="J10" s="77">
        <f t="shared" si="1"/>
        <v>125.26349999999971</v>
      </c>
      <c r="K10" s="133" t="str">
        <f t="shared" si="0"/>
        <v>Tiene 2% de menos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1" customFormat="1" ht="15" customHeight="1" thickBot="1">
      <c r="A11" s="141" t="s">
        <v>10</v>
      </c>
      <c r="B11" s="142">
        <f>IF(Datos!B17=0,"",Datos!B17*$B$12/$H11)</f>
        <v>0.008290103491683904</v>
      </c>
      <c r="C11" s="143">
        <f>IF(Datos!C17=0,"",Datos!C17*$C$12/$H11)</f>
        <v>0</v>
      </c>
      <c r="D11" s="143">
        <f>IF(Datos!D17=0,"",Datos!D17*$D$12/$H11)</f>
        <v>0.009469099173032005</v>
      </c>
      <c r="E11" s="143">
        <f>IF(Datos!E17=0,"",Datos!E17*$E$12/$H11)</f>
        <v>0</v>
      </c>
      <c r="F11" s="143">
        <f>IF(Datos!F17=0,"",Datos!F17*$F$12/$H11)</f>
        <v>0.058920077089607385</v>
      </c>
      <c r="G11" s="144">
        <f>IF(Datos!G17="","",Datos!G17*$G$12/$H11)</f>
        <v>0.9233207202456767</v>
      </c>
      <c r="H11" s="71">
        <f>+Datos!B17*EstGranulometria!$B$12+EstGranulometria!$C$12*Datos!C17+EstGranulometria!$D$12*Datos!D17+EstGranulometria!$E$12*Datos!E17+EstGranulometria!$F$12*Datos!F17+EstGranulometria!$G$12*Datos!G17</f>
        <v>53.8594</v>
      </c>
      <c r="I11" s="34"/>
      <c r="J11" s="76">
        <f t="shared" si="1"/>
        <v>71.40409999999972</v>
      </c>
      <c r="K11" s="145" t="str">
        <f t="shared" si="0"/>
        <v>Tiene 0,6% de menos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1" customFormat="1" ht="29.25" customHeight="1" thickBot="1">
      <c r="A12" s="135" t="s">
        <v>19</v>
      </c>
      <c r="B12" s="262">
        <v>0.095</v>
      </c>
      <c r="C12" s="262">
        <v>0</v>
      </c>
      <c r="D12" s="262">
        <v>0.34</v>
      </c>
      <c r="E12" s="262">
        <v>0</v>
      </c>
      <c r="F12" s="262">
        <v>0.123</v>
      </c>
      <c r="G12" s="263">
        <v>0.387</v>
      </c>
      <c r="H12" s="63"/>
      <c r="I12" s="63"/>
      <c r="J12" s="64"/>
      <c r="K12" s="140">
        <f>SUM(B12:G12)</f>
        <v>0.9450000000000001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1" customFormat="1" ht="21" customHeight="1">
      <c r="A13" s="136" t="s">
        <v>20</v>
      </c>
      <c r="B13" s="233">
        <v>1</v>
      </c>
      <c r="C13" s="233">
        <v>2</v>
      </c>
      <c r="D13" s="233">
        <v>3</v>
      </c>
      <c r="E13" s="233">
        <v>4</v>
      </c>
      <c r="F13" s="233">
        <v>5</v>
      </c>
      <c r="G13" s="234">
        <v>6</v>
      </c>
      <c r="H13" s="71"/>
      <c r="I13" s="45"/>
      <c r="J13" s="20"/>
      <c r="K13" s="13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1" customFormat="1" ht="19.5" customHeight="1" thickBot="1">
      <c r="A14" s="137" t="s">
        <v>23</v>
      </c>
      <c r="B14" s="138" t="str">
        <f>+Datos!B4</f>
        <v>Grueso 5-20</v>
      </c>
      <c r="C14" s="138" t="str">
        <f>+Datos!C4</f>
        <v>Intermedio 5 - 10</v>
      </c>
      <c r="D14" s="138" t="str">
        <f>+Datos!D4</f>
        <v>Grueso 5-14</v>
      </c>
      <c r="E14" s="138" t="str">
        <f>+Datos!E4</f>
        <v>Arena terciada</v>
      </c>
      <c r="F14" s="138" t="str">
        <f>+Datos!F4</f>
        <v>Arena fina</v>
      </c>
      <c r="G14" s="139" t="str">
        <f>+Datos!G4</f>
        <v>Polvo</v>
      </c>
      <c r="H14" s="36"/>
      <c r="I14" s="36"/>
      <c r="J14" s="20"/>
      <c r="K14" s="134"/>
      <c r="L14" s="19"/>
      <c r="M14" s="8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13" ht="11.25" customHeight="1" thickBot="1">
      <c r="A15" s="1"/>
      <c r="B15" s="1"/>
      <c r="L15" s="81"/>
      <c r="M15" s="81"/>
    </row>
    <row r="16" spans="1:13" ht="25.5">
      <c r="A16" s="53" t="s">
        <v>0</v>
      </c>
      <c r="B16" s="47" t="s">
        <v>13</v>
      </c>
      <c r="C16" s="282" t="s">
        <v>16</v>
      </c>
      <c r="D16" s="283"/>
      <c r="E16" s="47" t="s">
        <v>78</v>
      </c>
      <c r="F16" s="65" t="s">
        <v>15</v>
      </c>
      <c r="G16" s="54" t="s">
        <v>14</v>
      </c>
      <c r="H16" s="278" t="s">
        <v>38</v>
      </c>
      <c r="I16" s="279"/>
      <c r="J16" s="25" t="s">
        <v>22</v>
      </c>
      <c r="K16" s="17"/>
      <c r="L16" s="81"/>
      <c r="M16" s="81"/>
    </row>
    <row r="17" spans="1:13" ht="15" customHeight="1">
      <c r="A17" s="55" t="s">
        <v>1</v>
      </c>
      <c r="B17" s="48">
        <f>+J2/Datos!$H$6</f>
        <v>1</v>
      </c>
      <c r="C17" s="281" t="str">
        <f>+IF(J17=0,IF(B17&gt;G17,CONCATENATE("Tiene ",INT((B17-G17)*1000)/10,"% de más"),CONCATENATE("Tiene ",INT((F17-B17)*1000)/10,"% de menos")),"cumple")</f>
        <v>cumple</v>
      </c>
      <c r="D17" s="281"/>
      <c r="E17" s="68">
        <f>+Calculo!C8</f>
        <v>1</v>
      </c>
      <c r="F17" s="28">
        <f>+Datos!I8</f>
        <v>1</v>
      </c>
      <c r="G17" s="56">
        <f>+Datos!J8</f>
        <v>1</v>
      </c>
      <c r="H17" s="1">
        <f>+IF((1-B17)&lt;=0.1,Calculo!B8,0)</f>
        <v>25</v>
      </c>
      <c r="I17" s="1">
        <f>+IF(H18=0,H17,0)</f>
        <v>0</v>
      </c>
      <c r="J17" s="26" t="str">
        <f aca="true" t="shared" si="2" ref="J17:J26">+IF(AND(B17&gt;=F17,B17&lt;=G17),"cumple",0)</f>
        <v>cumple</v>
      </c>
      <c r="K17" s="82"/>
      <c r="L17" s="81"/>
      <c r="M17" s="81"/>
    </row>
    <row r="18" spans="1:13" ht="15" customHeight="1">
      <c r="A18" s="57" t="s">
        <v>2</v>
      </c>
      <c r="B18" s="49">
        <f>+J3/Datos!$H$6</f>
        <v>0.9981790323402527</v>
      </c>
      <c r="C18" s="280" t="str">
        <f aca="true" t="shared" si="3" ref="C18:C26">+IF(J18=0,IF(B18&gt;G18,CONCATENATE("Tiene ",INT((B18-G18)*1000)/10,"% de más"),CONCATENATE("Tiene ",INT((F18-B18)*1000)/10,"% de menos")),"cumple")</f>
        <v>Tiene 0,1% de menos</v>
      </c>
      <c r="D18" s="280"/>
      <c r="E18" s="69">
        <f>+Calculo!C9</f>
        <v>1</v>
      </c>
      <c r="F18" s="66">
        <f>+Datos!I9</f>
        <v>1</v>
      </c>
      <c r="G18" s="58">
        <f>+Datos!J9</f>
        <v>1</v>
      </c>
      <c r="H18" s="1">
        <f>+IF((1-B18)&lt;=0.1,Calculo!B9,0)</f>
        <v>19</v>
      </c>
      <c r="I18" s="1">
        <f aca="true" t="shared" si="4" ref="I18:I25">+IF(H19=0,H18,0)</f>
        <v>0</v>
      </c>
      <c r="J18" s="26">
        <f t="shared" si="2"/>
        <v>0</v>
      </c>
      <c r="K18" s="82"/>
      <c r="L18" s="81"/>
      <c r="M18" s="81"/>
    </row>
    <row r="19" spans="1:13" ht="15" customHeight="1">
      <c r="A19" s="55" t="s">
        <v>3</v>
      </c>
      <c r="B19" s="48">
        <f>+J4/Datos!$H$6</f>
        <v>0.9146683547229818</v>
      </c>
      <c r="C19" s="281" t="str">
        <f t="shared" si="3"/>
        <v>cumple</v>
      </c>
      <c r="D19" s="281"/>
      <c r="E19" s="68">
        <f>+Calculo!C10</f>
        <v>1</v>
      </c>
      <c r="F19" s="28">
        <f>+Datos!I10</f>
        <v>0.8</v>
      </c>
      <c r="G19" s="56">
        <f>+Datos!J10</f>
        <v>1</v>
      </c>
      <c r="H19" s="1">
        <f>+IF((1-B19)&lt;=0.1,Calculo!B10,0)</f>
        <v>12.5</v>
      </c>
      <c r="I19" s="1">
        <f t="shared" si="4"/>
        <v>12.5</v>
      </c>
      <c r="J19" s="26" t="str">
        <f t="shared" si="2"/>
        <v>cumple</v>
      </c>
      <c r="K19" s="82"/>
      <c r="L19" s="81"/>
      <c r="M19" s="81"/>
    </row>
    <row r="20" spans="1:13" ht="15" customHeight="1">
      <c r="A20" s="57" t="s">
        <v>4</v>
      </c>
      <c r="B20" s="49">
        <f>+J5/Datos!$H$6</f>
        <v>0.7324638869090834</v>
      </c>
      <c r="C20" s="280" t="str">
        <f t="shared" si="3"/>
        <v>cumple</v>
      </c>
      <c r="D20" s="280"/>
      <c r="E20" s="69">
        <f>+Calculo!C11</f>
        <v>0.8838246634191991</v>
      </c>
      <c r="F20" s="66">
        <f>+Datos!I11</f>
        <v>0.7</v>
      </c>
      <c r="G20" s="58">
        <f>+Datos!J11</f>
        <v>0.9</v>
      </c>
      <c r="H20" s="1">
        <f>+IF((1-B20)&lt;=0.1,Calculo!B11,0)</f>
        <v>0</v>
      </c>
      <c r="I20" s="1">
        <f t="shared" si="4"/>
        <v>0</v>
      </c>
      <c r="J20" s="26" t="str">
        <f t="shared" si="2"/>
        <v>cumple</v>
      </c>
      <c r="K20" s="82"/>
      <c r="L20" s="81"/>
      <c r="M20" s="81"/>
    </row>
    <row r="21" spans="1:13" ht="15" customHeight="1">
      <c r="A21" s="55" t="s">
        <v>5</v>
      </c>
      <c r="B21" s="48">
        <f>+J6/Datos!$H$6</f>
        <v>0.5194124262111924</v>
      </c>
      <c r="C21" s="281" t="str">
        <f t="shared" si="3"/>
        <v>cumple</v>
      </c>
      <c r="D21" s="281"/>
      <c r="E21" s="68">
        <f>+Calculo!C12</f>
        <v>0.646997523718003</v>
      </c>
      <c r="F21" s="28">
        <f>+Datos!I12</f>
        <v>0.5</v>
      </c>
      <c r="G21" s="56">
        <f>+Datos!J12</f>
        <v>0.7</v>
      </c>
      <c r="H21" s="1">
        <f>+IF((1-B21)&lt;=0.1,Calculo!B12,0)</f>
        <v>0</v>
      </c>
      <c r="I21" s="1">
        <f t="shared" si="4"/>
        <v>0</v>
      </c>
      <c r="J21" s="26" t="str">
        <f t="shared" si="2"/>
        <v>cumple</v>
      </c>
      <c r="K21" s="82"/>
      <c r="L21" s="81"/>
      <c r="M21" s="81"/>
    </row>
    <row r="22" spans="1:13" ht="15" customHeight="1">
      <c r="A22" s="57" t="s">
        <v>6</v>
      </c>
      <c r="B22" s="49">
        <f>+J7/Datos!$H$6</f>
        <v>0.39984606702774134</v>
      </c>
      <c r="C22" s="280" t="str">
        <f t="shared" si="3"/>
        <v>cumple</v>
      </c>
      <c r="D22" s="280"/>
      <c r="E22" s="69">
        <f>+Calculo!C13</f>
        <v>0.4722814582004702</v>
      </c>
      <c r="F22" s="66">
        <f>+Datos!I13</f>
        <v>0.35</v>
      </c>
      <c r="G22" s="58">
        <f>+Datos!J13</f>
        <v>0.5</v>
      </c>
      <c r="H22" s="1">
        <f>+IF((1-B22)&lt;=0.1,Calculo!B13,0)</f>
        <v>0</v>
      </c>
      <c r="I22" s="1">
        <f t="shared" si="4"/>
        <v>0</v>
      </c>
      <c r="J22" s="26" t="str">
        <f t="shared" si="2"/>
        <v>cumple</v>
      </c>
      <c r="K22" s="82"/>
      <c r="L22" s="81"/>
      <c r="M22" s="81"/>
    </row>
    <row r="23" spans="1:13" ht="15" customHeight="1">
      <c r="A23" s="55" t="s">
        <v>7</v>
      </c>
      <c r="B23" s="48">
        <f>+J8/Datos!$H$6</f>
        <v>0.2650303135603826</v>
      </c>
      <c r="C23" s="281" t="str">
        <f t="shared" si="3"/>
        <v>cumple</v>
      </c>
      <c r="D23" s="281"/>
      <c r="E23" s="68">
        <f>+Calculo!C14</f>
        <v>0.2550107900918065</v>
      </c>
      <c r="F23" s="28">
        <f>+Datos!I14</f>
        <v>0.18</v>
      </c>
      <c r="G23" s="56">
        <f>+Datos!J14</f>
        <v>0.29</v>
      </c>
      <c r="H23" s="1">
        <f>+IF((1-B23)&lt;=0.1,Calculo!B14,0)</f>
        <v>0</v>
      </c>
      <c r="I23" s="1">
        <f t="shared" si="4"/>
        <v>0</v>
      </c>
      <c r="J23" s="26" t="str">
        <f t="shared" si="2"/>
        <v>cumple</v>
      </c>
      <c r="K23" s="17"/>
      <c r="L23" s="81"/>
      <c r="M23" s="81"/>
    </row>
    <row r="24" spans="1:13" ht="15" customHeight="1">
      <c r="A24" s="57" t="s">
        <v>8</v>
      </c>
      <c r="B24" s="49">
        <f>+J9/Datos!$H$6</f>
        <v>0.13299616173419115</v>
      </c>
      <c r="C24" s="280" t="str">
        <f t="shared" si="3"/>
        <v>cumple</v>
      </c>
      <c r="D24" s="280"/>
      <c r="E24" s="69">
        <f>+Calculo!C15</f>
        <v>0.18667882504260314</v>
      </c>
      <c r="F24" s="66">
        <f>+Datos!I15</f>
        <v>0.13</v>
      </c>
      <c r="G24" s="58">
        <f>+Datos!J15</f>
        <v>0.23</v>
      </c>
      <c r="H24" s="1">
        <f>+IF((1-B24)&lt;=0.1,Calculo!B15,0)</f>
        <v>0</v>
      </c>
      <c r="I24" s="1">
        <f t="shared" si="4"/>
        <v>0</v>
      </c>
      <c r="J24" s="26" t="str">
        <f t="shared" si="2"/>
        <v>cumple</v>
      </c>
      <c r="K24" s="17"/>
      <c r="L24" s="81"/>
      <c r="M24" s="81"/>
    </row>
    <row r="25" spans="1:13" ht="15" customHeight="1">
      <c r="A25" s="55" t="s">
        <v>9</v>
      </c>
      <c r="B25" s="48">
        <f>+J10/Datos!$H$6</f>
        <v>0.05943219969951648</v>
      </c>
      <c r="C25" s="281" t="str">
        <f t="shared" si="3"/>
        <v>Tiene 2% de menos</v>
      </c>
      <c r="D25" s="281"/>
      <c r="E25" s="68">
        <f>+Calculo!C16</f>
        <v>0.13665689874040562</v>
      </c>
      <c r="F25" s="28">
        <f>+Datos!I16</f>
        <v>0.08</v>
      </c>
      <c r="G25" s="56">
        <f>+Datos!J16</f>
        <v>0.16</v>
      </c>
      <c r="H25" s="1">
        <f>+IF((1-B25)&lt;=0.1,Calculo!B16,0)</f>
        <v>0</v>
      </c>
      <c r="I25" s="1">
        <f t="shared" si="4"/>
        <v>0</v>
      </c>
      <c r="J25" s="26">
        <f t="shared" si="2"/>
        <v>0</v>
      </c>
      <c r="K25" s="17"/>
      <c r="L25" s="81"/>
      <c r="M25" s="81"/>
    </row>
    <row r="26" spans="1:13" ht="15" customHeight="1" thickBot="1">
      <c r="A26" s="59" t="s">
        <v>10</v>
      </c>
      <c r="B26" s="50">
        <f>+J11/Datos!$H$6</f>
        <v>0.03387820658503265</v>
      </c>
      <c r="C26" s="280" t="str">
        <f t="shared" si="3"/>
        <v>Tiene 0,6% de menos</v>
      </c>
      <c r="D26" s="280"/>
      <c r="E26" s="70">
        <f>+Calculo!C17</f>
        <v>0.10003870534905883</v>
      </c>
      <c r="F26" s="67">
        <f>+Datos!I17</f>
        <v>0.04</v>
      </c>
      <c r="G26" s="60">
        <f>+Datos!J17</f>
        <v>0.1</v>
      </c>
      <c r="I26" s="1">
        <f>SUM(I17:I25)</f>
        <v>12.5</v>
      </c>
      <c r="J26" s="26">
        <f t="shared" si="2"/>
        <v>0</v>
      </c>
      <c r="K26" s="17"/>
      <c r="L26" s="81"/>
      <c r="M26" s="81"/>
    </row>
    <row r="27" spans="1:13" ht="12.75" hidden="1">
      <c r="A27" s="51" t="s">
        <v>17</v>
      </c>
      <c r="B27" s="46" t="e">
        <f>+#REF!/#REF!</f>
        <v>#REF!</v>
      </c>
      <c r="C27" s="52"/>
      <c r="D27" s="27"/>
      <c r="E27" s="27"/>
      <c r="F27" s="27"/>
      <c r="H27" s="1">
        <f>+IF((1-B28)&gt;0.1,Calculo!B18,0)</f>
        <v>0</v>
      </c>
      <c r="J27" s="17"/>
      <c r="K27" s="17"/>
      <c r="L27" s="81"/>
      <c r="M27" s="81"/>
    </row>
    <row r="28" spans="1:13" ht="12.75">
      <c r="A28" s="18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81"/>
      <c r="M28" s="81"/>
    </row>
    <row r="29" spans="1:13" ht="12.75">
      <c r="A29" s="18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81"/>
      <c r="M29" s="81"/>
    </row>
    <row r="30" spans="1:13" ht="13.5" thickBot="1">
      <c r="A30" s="18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81"/>
      <c r="M30" s="81"/>
    </row>
    <row r="31" spans="1:17" ht="19.5" customHeight="1">
      <c r="A31" s="151" t="s">
        <v>70</v>
      </c>
      <c r="B31" s="153"/>
      <c r="C31" s="154"/>
      <c r="D31" s="154"/>
      <c r="E31" s="154"/>
      <c r="F31" s="154"/>
      <c r="G31" s="154"/>
      <c r="H31" s="154">
        <v>0.375</v>
      </c>
      <c r="I31" s="154">
        <v>0</v>
      </c>
      <c r="J31" s="154"/>
      <c r="K31" s="154"/>
      <c r="L31" s="154"/>
      <c r="M31" s="154"/>
      <c r="N31" s="154"/>
      <c r="O31" s="154"/>
      <c r="P31" s="154"/>
      <c r="Q31" s="155"/>
    </row>
    <row r="32" spans="1:17" ht="8.2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</row>
    <row r="33" spans="1:17" ht="27.75" customHeight="1">
      <c r="A33" s="196" t="s">
        <v>79</v>
      </c>
      <c r="B33" s="197" t="str">
        <f aca="true" t="shared" si="5" ref="B33:G33">IF(B14=0,"",B14)</f>
        <v>Grueso 5-20</v>
      </c>
      <c r="C33" s="197" t="str">
        <f t="shared" si="5"/>
        <v>Intermedio 5 - 10</v>
      </c>
      <c r="D33" s="197" t="str">
        <f t="shared" si="5"/>
        <v>Grueso 5-14</v>
      </c>
      <c r="E33" s="197" t="str">
        <f t="shared" si="5"/>
        <v>Arena terciada</v>
      </c>
      <c r="F33" s="197" t="str">
        <f t="shared" si="5"/>
        <v>Arena fina</v>
      </c>
      <c r="G33" s="197" t="str">
        <f t="shared" si="5"/>
        <v>Polvo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8"/>
    </row>
    <row r="34" spans="1:17" ht="19.5" customHeight="1">
      <c r="A34" s="264" t="s">
        <v>80</v>
      </c>
      <c r="B34" s="195">
        <v>0.1</v>
      </c>
      <c r="C34" s="195">
        <v>0</v>
      </c>
      <c r="D34" s="195">
        <v>0.33</v>
      </c>
      <c r="E34" s="195">
        <v>0</v>
      </c>
      <c r="F34" s="195">
        <v>0.03</v>
      </c>
      <c r="G34" s="195">
        <v>0.54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8"/>
    </row>
    <row r="35" spans="1:17" ht="19.5" customHeight="1">
      <c r="A35" s="264" t="s">
        <v>81</v>
      </c>
      <c r="B35" s="265">
        <v>0.15</v>
      </c>
      <c r="C35" s="265">
        <v>0.1</v>
      </c>
      <c r="D35" s="265">
        <v>0.15</v>
      </c>
      <c r="E35" s="265">
        <v>0</v>
      </c>
      <c r="F35" s="265">
        <v>0.05</v>
      </c>
      <c r="G35" s="265">
        <v>0.55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8"/>
    </row>
    <row r="36" spans="1:17" ht="19.5" customHeight="1" thickBot="1">
      <c r="A36" s="264" t="s">
        <v>82</v>
      </c>
      <c r="B36" s="195">
        <v>0.15</v>
      </c>
      <c r="C36" s="195">
        <v>0.1</v>
      </c>
      <c r="D36" s="195">
        <v>0.15</v>
      </c>
      <c r="E36" s="195">
        <v>0</v>
      </c>
      <c r="F36" s="195">
        <v>0.1</v>
      </c>
      <c r="G36" s="195">
        <v>0.5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8"/>
    </row>
    <row r="37" spans="1:17" ht="19.5" customHeight="1" thickBot="1">
      <c r="A37" s="264" t="s">
        <v>83</v>
      </c>
      <c r="B37" s="262">
        <v>0.25</v>
      </c>
      <c r="C37" s="262">
        <v>0.12</v>
      </c>
      <c r="D37" s="262">
        <v>0</v>
      </c>
      <c r="E37" s="262">
        <v>0</v>
      </c>
      <c r="F37" s="262">
        <v>0.07</v>
      </c>
      <c r="G37" s="263">
        <v>0.56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8"/>
    </row>
    <row r="38" spans="1:17" ht="19.5" customHeight="1" thickBot="1">
      <c r="A38" s="264" t="s">
        <v>84</v>
      </c>
      <c r="B38" s="262">
        <v>0.15</v>
      </c>
      <c r="C38" s="262">
        <v>0.15</v>
      </c>
      <c r="D38" s="262">
        <v>0.15</v>
      </c>
      <c r="E38" s="262">
        <v>0.05</v>
      </c>
      <c r="F38" s="262">
        <v>0.1</v>
      </c>
      <c r="G38" s="263">
        <v>0.4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8"/>
    </row>
    <row r="39" spans="1:17" ht="19.5" customHeight="1">
      <c r="A39" s="264" t="s">
        <v>85</v>
      </c>
      <c r="B39" s="265">
        <v>0</v>
      </c>
      <c r="C39" s="265">
        <v>0.19</v>
      </c>
      <c r="D39" s="265">
        <v>0.18</v>
      </c>
      <c r="E39" s="265">
        <v>0</v>
      </c>
      <c r="F39" s="265">
        <v>0.11</v>
      </c>
      <c r="G39" s="265">
        <v>0.52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8"/>
    </row>
    <row r="40" spans="1:17" ht="19.5" customHeight="1">
      <c r="A40" s="264" t="s">
        <v>86</v>
      </c>
      <c r="B40" s="195">
        <v>0.18</v>
      </c>
      <c r="C40" s="195">
        <v>0</v>
      </c>
      <c r="D40" s="195">
        <v>0.1</v>
      </c>
      <c r="E40" s="195">
        <v>0.13</v>
      </c>
      <c r="F40" s="195">
        <v>0</v>
      </c>
      <c r="G40" s="195">
        <v>0.59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8"/>
    </row>
    <row r="41" spans="1:17" ht="19.5" customHeight="1" thickBot="1">
      <c r="A41" s="264" t="s">
        <v>87</v>
      </c>
      <c r="B41" s="265">
        <v>0.16</v>
      </c>
      <c r="C41" s="265">
        <v>0.15</v>
      </c>
      <c r="D41" s="265">
        <v>0.1</v>
      </c>
      <c r="E41" s="265">
        <v>0</v>
      </c>
      <c r="F41" s="265">
        <v>0</v>
      </c>
      <c r="G41" s="265">
        <v>0.59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8"/>
    </row>
    <row r="42" spans="1:17" ht="19.5" customHeight="1" thickBot="1">
      <c r="A42" s="264" t="s">
        <v>88</v>
      </c>
      <c r="B42" s="262">
        <v>0.12</v>
      </c>
      <c r="C42" s="262">
        <v>0.11</v>
      </c>
      <c r="D42" s="262">
        <v>0.12</v>
      </c>
      <c r="E42" s="262">
        <v>0.1</v>
      </c>
      <c r="F42" s="262">
        <v>0.05</v>
      </c>
      <c r="G42" s="263">
        <v>0.5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8"/>
    </row>
    <row r="43" spans="1:17" ht="19.5" customHeight="1" thickBot="1">
      <c r="A43" s="264" t="s">
        <v>89</v>
      </c>
      <c r="B43" s="262">
        <v>0.11</v>
      </c>
      <c r="C43" s="262">
        <v>0.11</v>
      </c>
      <c r="D43" s="262">
        <v>0.11</v>
      </c>
      <c r="E43" s="262">
        <v>0.12</v>
      </c>
      <c r="F43" s="262">
        <v>0.03</v>
      </c>
      <c r="G43" s="263">
        <v>0.52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8"/>
    </row>
    <row r="44" spans="1:17" ht="19.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</row>
    <row r="45" spans="1:17" ht="19.5" customHeight="1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</row>
    <row r="46" spans="1:17" ht="19.5" customHeight="1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10"/>
    </row>
    <row r="47" spans="1:17" ht="19.5" customHeight="1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10"/>
    </row>
    <row r="48" spans="1:17" ht="19.5" customHeight="1">
      <c r="A48" s="208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</row>
    <row r="49" spans="1:17" ht="19.5" customHeight="1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0"/>
    </row>
    <row r="50" spans="1:17" ht="19.5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</row>
    <row r="51" spans="1:17" ht="19.5" customHeight="1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10"/>
    </row>
    <row r="52" spans="1:17" ht="19.5" customHeight="1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</row>
    <row r="53" spans="1:17" ht="19.5" customHeight="1">
      <c r="A53" s="20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10"/>
    </row>
    <row r="54" spans="1:17" ht="19.5" customHeight="1">
      <c r="A54" s="208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/>
    </row>
    <row r="55" spans="1:17" ht="19.5" customHeight="1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</row>
    <row r="56" spans="1:17" ht="19.5" customHeight="1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</row>
    <row r="57" spans="1:17" ht="19.5" customHeight="1">
      <c r="A57" s="20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/>
    </row>
    <row r="58" spans="1:17" ht="19.5" customHeight="1">
      <c r="A58" s="20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</row>
    <row r="59" spans="1:17" ht="19.5" customHeight="1">
      <c r="A59" s="208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0"/>
    </row>
    <row r="60" spans="1:17" ht="19.5" customHeight="1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0"/>
    </row>
    <row r="61" spans="1:17" ht="19.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0"/>
    </row>
    <row r="62" spans="1:17" ht="19.5" customHeigh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</row>
    <row r="63" spans="1:17" ht="19.5" customHeight="1">
      <c r="A63" s="20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10"/>
    </row>
    <row r="64" spans="1:17" ht="19.5" customHeight="1" thickBot="1">
      <c r="A64" s="211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3"/>
    </row>
    <row r="65" spans="1:13" ht="12.75">
      <c r="A65" s="18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1"/>
    </row>
    <row r="66" spans="1:13" ht="12.75">
      <c r="A66" s="18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81"/>
    </row>
    <row r="67" spans="1:13" ht="12.75">
      <c r="A67" s="18"/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81"/>
    </row>
    <row r="68" spans="1:13" ht="12.75">
      <c r="A68" s="18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81"/>
    </row>
    <row r="69" spans="1:13" ht="12.75">
      <c r="A69" s="18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81"/>
    </row>
    <row r="70" spans="1:13" ht="12.75">
      <c r="A70" s="18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81"/>
    </row>
    <row r="71" spans="1:13" ht="12.75">
      <c r="A71" s="18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81"/>
    </row>
    <row r="72" spans="1:13" ht="12.75">
      <c r="A72" s="18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81"/>
    </row>
    <row r="73" spans="1:12" ht="12.75">
      <c r="A73" s="18"/>
      <c r="B73" s="18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8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8"/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8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8"/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8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8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8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2" s="17" customFormat="1" ht="12.75">
      <c r="A81" s="18"/>
      <c r="B81" s="18"/>
    </row>
    <row r="82" spans="1:2" s="17" customFormat="1" ht="12.75">
      <c r="A82" s="18"/>
      <c r="B82" s="18"/>
    </row>
    <row r="83" spans="1:2" s="17" customFormat="1" ht="12.75">
      <c r="A83" s="18"/>
      <c r="B83" s="18"/>
    </row>
    <row r="84" spans="1:2" s="17" customFormat="1" ht="12.75">
      <c r="A84" s="18"/>
      <c r="B84" s="18"/>
    </row>
    <row r="85" spans="1:2" s="17" customFormat="1" ht="12.75">
      <c r="A85" s="18"/>
      <c r="B85" s="18"/>
    </row>
    <row r="86" spans="1:2" s="17" customFormat="1" ht="12.75">
      <c r="A86" s="18"/>
      <c r="B86" s="18"/>
    </row>
    <row r="87" spans="1:2" s="17" customFormat="1" ht="12.75">
      <c r="A87" s="18"/>
      <c r="B87" s="18"/>
    </row>
    <row r="88" spans="1:2" s="17" customFormat="1" ht="12.75">
      <c r="A88" s="18"/>
      <c r="B88" s="18"/>
    </row>
    <row r="89" spans="1:2" s="17" customFormat="1" ht="12.75">
      <c r="A89" s="18"/>
      <c r="B89" s="18"/>
    </row>
    <row r="90" spans="1:2" s="17" customFormat="1" ht="12.75">
      <c r="A90" s="18"/>
      <c r="B90" s="18"/>
    </row>
    <row r="91" spans="1:2" s="17" customFormat="1" ht="12.75">
      <c r="A91" s="18"/>
      <c r="B91" s="18"/>
    </row>
    <row r="92" spans="1:2" s="17" customFormat="1" ht="12.75">
      <c r="A92" s="18"/>
      <c r="B92" s="18"/>
    </row>
    <row r="93" spans="1:2" s="17" customFormat="1" ht="12.75">
      <c r="A93" s="18"/>
      <c r="B93" s="18"/>
    </row>
    <row r="94" spans="1:2" s="17" customFormat="1" ht="12.75">
      <c r="A94" s="18"/>
      <c r="B94" s="18"/>
    </row>
    <row r="95" spans="1:2" s="17" customFormat="1" ht="12.75">
      <c r="A95" s="18"/>
      <c r="B95" s="18"/>
    </row>
    <row r="96" spans="1:2" s="17" customFormat="1" ht="12.75">
      <c r="A96" s="18"/>
      <c r="B96" s="18"/>
    </row>
    <row r="97" spans="1:2" s="17" customFormat="1" ht="12.75">
      <c r="A97" s="18"/>
      <c r="B97" s="18"/>
    </row>
    <row r="98" spans="1:2" s="17" customFormat="1" ht="12.75">
      <c r="A98" s="18"/>
      <c r="B98" s="18"/>
    </row>
    <row r="99" spans="1:2" s="17" customFormat="1" ht="12.75">
      <c r="A99" s="18"/>
      <c r="B99" s="18"/>
    </row>
    <row r="100" spans="1:2" s="17" customFormat="1" ht="12.75">
      <c r="A100" s="18"/>
      <c r="B100" s="18"/>
    </row>
    <row r="101" spans="1:2" s="17" customFormat="1" ht="12.75">
      <c r="A101" s="18"/>
      <c r="B101" s="18"/>
    </row>
    <row r="102" spans="1:2" s="17" customFormat="1" ht="12.75">
      <c r="A102" s="18"/>
      <c r="B102" s="18"/>
    </row>
    <row r="103" spans="1:2" s="17" customFormat="1" ht="12.75">
      <c r="A103" s="18"/>
      <c r="B103" s="18"/>
    </row>
    <row r="104" spans="1:2" s="17" customFormat="1" ht="12.75">
      <c r="A104" s="18"/>
      <c r="B104" s="18"/>
    </row>
    <row r="105" spans="1:2" s="17" customFormat="1" ht="12.75">
      <c r="A105" s="18"/>
      <c r="B105" s="18"/>
    </row>
    <row r="106" spans="1:2" s="17" customFormat="1" ht="12.75">
      <c r="A106" s="18"/>
      <c r="B106" s="18"/>
    </row>
    <row r="107" spans="1:2" s="17" customFormat="1" ht="12.75">
      <c r="A107" s="18"/>
      <c r="B107" s="18"/>
    </row>
    <row r="108" spans="1:2" s="17" customFormat="1" ht="12.75">
      <c r="A108" s="18"/>
      <c r="B108" s="18"/>
    </row>
    <row r="109" spans="1:2" s="17" customFormat="1" ht="12.75">
      <c r="A109" s="18"/>
      <c r="B109" s="18"/>
    </row>
    <row r="110" spans="1:2" s="17" customFormat="1" ht="12.75">
      <c r="A110" s="18"/>
      <c r="B110" s="18"/>
    </row>
    <row r="111" spans="1:2" s="17" customFormat="1" ht="12.75">
      <c r="A111" s="18"/>
      <c r="B111" s="18"/>
    </row>
    <row r="112" spans="1:2" s="17" customFormat="1" ht="12.75">
      <c r="A112" s="18"/>
      <c r="B112" s="18"/>
    </row>
    <row r="113" spans="1:2" s="17" customFormat="1" ht="12.75">
      <c r="A113" s="18"/>
      <c r="B113" s="18"/>
    </row>
    <row r="114" spans="1:2" s="17" customFormat="1" ht="12.75">
      <c r="A114" s="18"/>
      <c r="B114" s="18"/>
    </row>
    <row r="115" spans="1:2" s="17" customFormat="1" ht="12.75">
      <c r="A115" s="18"/>
      <c r="B115" s="18"/>
    </row>
    <row r="116" spans="1:2" s="17" customFormat="1" ht="12.75">
      <c r="A116" s="18"/>
      <c r="B116" s="18"/>
    </row>
    <row r="117" spans="1:2" s="17" customFormat="1" ht="12.75">
      <c r="A117" s="18"/>
      <c r="B117" s="18"/>
    </row>
    <row r="118" spans="1:2" s="17" customFormat="1" ht="12.75">
      <c r="A118" s="18"/>
      <c r="B118" s="18"/>
    </row>
    <row r="119" spans="1:2" s="17" customFormat="1" ht="12.75">
      <c r="A119" s="18"/>
      <c r="B119" s="18"/>
    </row>
    <row r="120" spans="1:2" s="17" customFormat="1" ht="12.75">
      <c r="A120" s="18"/>
      <c r="B120" s="18"/>
    </row>
    <row r="121" spans="1:2" s="17" customFormat="1" ht="12.75">
      <c r="A121" s="18"/>
      <c r="B121" s="18"/>
    </row>
    <row r="122" spans="1:2" s="17" customFormat="1" ht="12.75">
      <c r="A122" s="18"/>
      <c r="B122" s="18"/>
    </row>
    <row r="123" spans="1:2" s="17" customFormat="1" ht="12.75">
      <c r="A123" s="18"/>
      <c r="B123" s="18"/>
    </row>
    <row r="124" spans="1:2" s="17" customFormat="1" ht="12.75">
      <c r="A124" s="18"/>
      <c r="B124" s="18"/>
    </row>
    <row r="125" spans="1:2" s="17" customFormat="1" ht="12.75">
      <c r="A125" s="18"/>
      <c r="B125" s="18"/>
    </row>
    <row r="126" spans="1:2" s="17" customFormat="1" ht="12.75">
      <c r="A126" s="18"/>
      <c r="B126" s="18"/>
    </row>
    <row r="127" spans="1:2" s="17" customFormat="1" ht="12.75">
      <c r="A127" s="18"/>
      <c r="B127" s="18"/>
    </row>
    <row r="128" spans="1:2" s="17" customFormat="1" ht="12.75">
      <c r="A128" s="18"/>
      <c r="B128" s="18"/>
    </row>
    <row r="129" spans="1:2" s="17" customFormat="1" ht="12.75">
      <c r="A129" s="18"/>
      <c r="B129" s="18"/>
    </row>
    <row r="130" spans="1:2" s="17" customFormat="1" ht="12.75">
      <c r="A130" s="18"/>
      <c r="B130" s="18"/>
    </row>
    <row r="131" spans="1:2" s="17" customFormat="1" ht="12.75">
      <c r="A131" s="18"/>
      <c r="B131" s="18"/>
    </row>
    <row r="132" spans="1:2" s="17" customFormat="1" ht="12.75">
      <c r="A132" s="18"/>
      <c r="B132" s="18"/>
    </row>
    <row r="133" spans="1:2" s="17" customFormat="1" ht="12.75">
      <c r="A133" s="18"/>
      <c r="B133" s="18"/>
    </row>
    <row r="134" spans="1:2" s="17" customFormat="1" ht="12.75">
      <c r="A134" s="18"/>
      <c r="B134" s="18"/>
    </row>
    <row r="135" spans="1:2" s="17" customFormat="1" ht="12.75">
      <c r="A135" s="18"/>
      <c r="B135" s="18"/>
    </row>
    <row r="136" spans="1:2" s="17" customFormat="1" ht="12.75">
      <c r="A136" s="18"/>
      <c r="B136" s="18"/>
    </row>
    <row r="137" spans="1:2" s="17" customFormat="1" ht="12.75">
      <c r="A137" s="18"/>
      <c r="B137" s="18"/>
    </row>
    <row r="138" spans="1:2" s="17" customFormat="1" ht="12.75">
      <c r="A138" s="18"/>
      <c r="B138" s="18"/>
    </row>
    <row r="139" spans="1:2" s="17" customFormat="1" ht="12.75">
      <c r="A139" s="18"/>
      <c r="B139" s="18"/>
    </row>
  </sheetData>
  <sheetProtection password="C1A9" sheet="1" objects="1" scenarios="1"/>
  <mergeCells count="13">
    <mergeCell ref="B1:G1"/>
    <mergeCell ref="C24:D24"/>
    <mergeCell ref="C25:D25"/>
    <mergeCell ref="C26:D26"/>
    <mergeCell ref="C23:D23"/>
    <mergeCell ref="H16:I16"/>
    <mergeCell ref="C20:D20"/>
    <mergeCell ref="C21:D21"/>
    <mergeCell ref="C22:D22"/>
    <mergeCell ref="C16:D16"/>
    <mergeCell ref="C17:D17"/>
    <mergeCell ref="C18:D18"/>
    <mergeCell ref="C19:D19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3">
      <selection activeCell="F2" sqref="F2"/>
    </sheetView>
  </sheetViews>
  <sheetFormatPr defaultColWidth="11.421875" defaultRowHeight="12.75"/>
  <cols>
    <col min="1" max="1" width="11.421875" style="1" customWidth="1"/>
    <col min="2" max="2" width="17.28125" style="1" customWidth="1"/>
    <col min="3" max="8" width="13.7109375" style="1" customWidth="1"/>
    <col min="9" max="9" width="0" style="1" hidden="1" customWidth="1"/>
    <col min="10" max="10" width="11.28125" style="1" customWidth="1"/>
    <col min="11" max="16384" width="11.421875" style="1" customWidth="1"/>
  </cols>
  <sheetData>
    <row r="1" spans="1:8" ht="16.5" customHeight="1" thickBot="1">
      <c r="A1" s="297" t="s">
        <v>69</v>
      </c>
      <c r="B1" s="298"/>
      <c r="C1" s="298"/>
      <c r="D1" s="298"/>
      <c r="E1" s="298"/>
      <c r="F1" s="298"/>
      <c r="G1" s="298"/>
      <c r="H1" s="299"/>
    </row>
    <row r="2" spans="1:9" ht="18.75" customHeight="1" thickBot="1">
      <c r="A2" s="291" t="s">
        <v>41</v>
      </c>
      <c r="B2" s="292"/>
      <c r="C2" s="108">
        <v>1200</v>
      </c>
      <c r="D2" s="236" t="s">
        <v>42</v>
      </c>
      <c r="E2" s="98" t="s">
        <v>43</v>
      </c>
      <c r="F2" s="109">
        <v>0.055</v>
      </c>
      <c r="G2" s="99">
        <f>+C2*(F2)</f>
        <v>66</v>
      </c>
      <c r="H2" s="100" t="s">
        <v>42</v>
      </c>
      <c r="I2" s="1">
        <f>+C2-G2</f>
        <v>1134</v>
      </c>
    </row>
    <row r="3" spans="2:8" ht="12.75" customHeight="1" thickBot="1">
      <c r="B3" s="101"/>
      <c r="C3" s="102"/>
      <c r="D3" s="101"/>
      <c r="E3" s="103"/>
      <c r="F3" s="104"/>
      <c r="G3" s="101"/>
      <c r="H3" s="101"/>
    </row>
    <row r="4" spans="1:8" ht="16.5" customHeight="1">
      <c r="A4" s="293" t="s">
        <v>20</v>
      </c>
      <c r="B4" s="294"/>
      <c r="C4" s="105">
        <v>1</v>
      </c>
      <c r="D4" s="105">
        <v>2</v>
      </c>
      <c r="E4" s="105">
        <v>3</v>
      </c>
      <c r="F4" s="105">
        <v>4</v>
      </c>
      <c r="G4" s="105">
        <v>5</v>
      </c>
      <c r="H4" s="106">
        <v>6</v>
      </c>
    </row>
    <row r="5" spans="1:8" ht="16.5" customHeight="1">
      <c r="A5" s="295" t="s">
        <v>23</v>
      </c>
      <c r="B5" s="266"/>
      <c r="C5" s="111" t="str">
        <f>IF(Datos!B4="","",EstGranulometria!B14)</f>
        <v>Grueso 5-20</v>
      </c>
      <c r="D5" s="111" t="str">
        <f>IF(Datos!C4="","",EstGranulometria!C14)</f>
        <v>Intermedio 5 - 10</v>
      </c>
      <c r="E5" s="111" t="str">
        <f>IF(Datos!D4="","",EstGranulometria!D14)</f>
        <v>Grueso 5-14</v>
      </c>
      <c r="F5" s="111" t="str">
        <f>IF(Datos!E4="","",EstGranulometria!E14)</f>
        <v>Arena terciada</v>
      </c>
      <c r="G5" s="111" t="str">
        <f>IF(Datos!F4="","",EstGranulometria!F14)</f>
        <v>Arena fina</v>
      </c>
      <c r="H5" s="112" t="str">
        <f>IF(Datos!G4="","",EstGranulometria!G14)</f>
        <v>Polvo</v>
      </c>
    </row>
    <row r="6" spans="1:8" ht="16.5" customHeight="1">
      <c r="A6" s="295" t="s">
        <v>19</v>
      </c>
      <c r="B6" s="266"/>
      <c r="C6" s="96">
        <f>IF(EstGranulometria!B12=0,"",EstGranulometria!B12)</f>
        <v>0.095</v>
      </c>
      <c r="D6" s="96">
        <f>IF(EstGranulometria!C12=0,"",EstGranulometria!C12)</f>
      </c>
      <c r="E6" s="96">
        <f>IF(EstGranulometria!D12=0,"",EstGranulometria!D12)</f>
        <v>0.34</v>
      </c>
      <c r="F6" s="96">
        <f>IF(EstGranulometria!E12=0,"",EstGranulometria!E12)</f>
      </c>
      <c r="G6" s="96">
        <f>IF(EstGranulometria!F12=0,"",EstGranulometria!F12)</f>
        <v>0.123</v>
      </c>
      <c r="H6" s="97">
        <f>IF(EstGranulometria!G12=0,"",EstGranulometria!G12)</f>
        <v>0.387</v>
      </c>
    </row>
    <row r="7" spans="1:8" ht="16.5" customHeight="1" thickBot="1">
      <c r="A7" s="267" t="s">
        <v>44</v>
      </c>
      <c r="B7" s="296"/>
      <c r="C7" s="107">
        <f aca="true" t="shared" si="0" ref="C7:H7">IF(C6="","",$I$2*C6)</f>
        <v>107.73</v>
      </c>
      <c r="D7" s="107">
        <f t="shared" si="0"/>
      </c>
      <c r="E7" s="107">
        <f t="shared" si="0"/>
        <v>385.56</v>
      </c>
      <c r="F7" s="107">
        <f t="shared" si="0"/>
      </c>
      <c r="G7" s="107">
        <f t="shared" si="0"/>
        <v>139.482</v>
      </c>
      <c r="H7" s="110">
        <f t="shared" si="0"/>
        <v>438.858</v>
      </c>
    </row>
    <row r="8" ht="13.5" thickBot="1"/>
    <row r="9" spans="1:8" ht="24.75" customHeight="1" thickBot="1">
      <c r="A9" s="297" t="s">
        <v>62</v>
      </c>
      <c r="B9" s="298"/>
      <c r="C9" s="298"/>
      <c r="D9" s="298"/>
      <c r="E9" s="298"/>
      <c r="F9" s="298"/>
      <c r="G9" s="298"/>
      <c r="H9" s="299"/>
    </row>
    <row r="10" spans="1:8" ht="13.5" thickBot="1">
      <c r="A10" s="300" t="s">
        <v>68</v>
      </c>
      <c r="B10" s="301"/>
      <c r="C10" s="260">
        <v>1</v>
      </c>
      <c r="D10" s="237" t="s">
        <v>56</v>
      </c>
      <c r="E10" s="17"/>
      <c r="F10" s="17"/>
      <c r="G10" s="129" t="s">
        <v>65</v>
      </c>
      <c r="H10" s="130">
        <v>24.75</v>
      </c>
    </row>
    <row r="11" spans="1:8" ht="13.5" thickBot="1">
      <c r="A11" s="306" t="s">
        <v>61</v>
      </c>
      <c r="B11" s="307"/>
      <c r="C11" s="128">
        <v>11000</v>
      </c>
      <c r="D11" s="118" t="s">
        <v>60</v>
      </c>
      <c r="E11" s="289" t="s">
        <v>63</v>
      </c>
      <c r="F11" s="290"/>
      <c r="G11" s="120">
        <f>+G2/C2*C11</f>
        <v>605</v>
      </c>
      <c r="H11" s="118" t="s">
        <v>60</v>
      </c>
    </row>
    <row r="12" spans="1:8" ht="16.5" customHeight="1">
      <c r="A12" s="308" t="s">
        <v>20</v>
      </c>
      <c r="B12" s="309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6">
        <v>6</v>
      </c>
    </row>
    <row r="13" spans="1:8" ht="12.75">
      <c r="A13" s="302" t="s">
        <v>53</v>
      </c>
      <c r="B13" s="303"/>
      <c r="C13" s="126">
        <v>466.2</v>
      </c>
      <c r="D13" s="126">
        <f>+C13</f>
        <v>466.2</v>
      </c>
      <c r="E13" s="126">
        <f>+C13</f>
        <v>466.2</v>
      </c>
      <c r="F13" s="126">
        <f>160*1.23</f>
        <v>196.8</v>
      </c>
      <c r="G13" s="126">
        <v>315</v>
      </c>
      <c r="H13" s="238">
        <f>+D13</f>
        <v>466.2</v>
      </c>
    </row>
    <row r="14" spans="1:8" ht="12.75">
      <c r="A14" s="302" t="s">
        <v>55</v>
      </c>
      <c r="B14" s="303"/>
      <c r="C14" s="127">
        <v>1.6</v>
      </c>
      <c r="D14" s="127">
        <v>1.6</v>
      </c>
      <c r="E14" s="127">
        <v>1.6</v>
      </c>
      <c r="F14" s="127">
        <v>1.6</v>
      </c>
      <c r="G14" s="127">
        <v>1.6</v>
      </c>
      <c r="H14" s="239">
        <v>1.6</v>
      </c>
    </row>
    <row r="15" spans="1:8" ht="12.75">
      <c r="A15" s="302" t="s">
        <v>54</v>
      </c>
      <c r="B15" s="303"/>
      <c r="C15" s="116">
        <f aca="true" t="shared" si="1" ref="C15:H15">IF(C7="","",1/C14)</f>
        <v>0.625</v>
      </c>
      <c r="D15" s="116">
        <f t="shared" si="1"/>
      </c>
      <c r="E15" s="116">
        <f t="shared" si="1"/>
        <v>0.625</v>
      </c>
      <c r="F15" s="116">
        <f t="shared" si="1"/>
      </c>
      <c r="G15" s="116">
        <f t="shared" si="1"/>
        <v>0.625</v>
      </c>
      <c r="H15" s="240">
        <f t="shared" si="1"/>
        <v>0.625</v>
      </c>
    </row>
    <row r="16" spans="1:8" ht="12.75">
      <c r="A16" s="302" t="s">
        <v>57</v>
      </c>
      <c r="B16" s="303"/>
      <c r="C16" s="117">
        <f aca="true" t="shared" si="2" ref="C16:H16">IF(C7="","",$C$10*C7/$C$2*1000)</f>
        <v>89.775</v>
      </c>
      <c r="D16" s="117">
        <f t="shared" si="2"/>
      </c>
      <c r="E16" s="117">
        <f t="shared" si="2"/>
        <v>321.29999999999995</v>
      </c>
      <c r="F16" s="117">
        <f t="shared" si="2"/>
      </c>
      <c r="G16" s="117">
        <f t="shared" si="2"/>
        <v>116.235</v>
      </c>
      <c r="H16" s="241">
        <f t="shared" si="2"/>
        <v>365.71500000000003</v>
      </c>
    </row>
    <row r="17" spans="1:8" ht="12.75">
      <c r="A17" s="302" t="s">
        <v>58</v>
      </c>
      <c r="B17" s="303"/>
      <c r="C17" s="116">
        <f aca="true" t="shared" si="3" ref="C17:H17">IF(C7="","",C16*C15/1000)</f>
        <v>0.056109375</v>
      </c>
      <c r="D17" s="116">
        <f t="shared" si="3"/>
      </c>
      <c r="E17" s="116">
        <f t="shared" si="3"/>
        <v>0.20081249999999998</v>
      </c>
      <c r="F17" s="116">
        <f t="shared" si="3"/>
      </c>
      <c r="G17" s="116">
        <f t="shared" si="3"/>
        <v>0.072646875</v>
      </c>
      <c r="H17" s="240">
        <f t="shared" si="3"/>
        <v>0.22857187500000004</v>
      </c>
    </row>
    <row r="18" spans="1:10" ht="13.5" thickBot="1">
      <c r="A18" s="304" t="s">
        <v>59</v>
      </c>
      <c r="B18" s="305"/>
      <c r="C18" s="121">
        <f aca="true" t="shared" si="4" ref="C18:H18">IF(C7="","",C17*C13)</f>
        <v>26.158190625</v>
      </c>
      <c r="D18" s="121">
        <f t="shared" si="4"/>
      </c>
      <c r="E18" s="121">
        <f t="shared" si="4"/>
        <v>93.61878749999998</v>
      </c>
      <c r="F18" s="121">
        <f t="shared" si="4"/>
      </c>
      <c r="G18" s="121">
        <f t="shared" si="4"/>
        <v>22.883765625</v>
      </c>
      <c r="H18" s="242">
        <f t="shared" si="4"/>
        <v>106.56020812500002</v>
      </c>
      <c r="J18" s="119"/>
    </row>
    <row r="19" spans="2:8" ht="13.5" thickBot="1">
      <c r="B19" s="80"/>
      <c r="C19" s="80"/>
      <c r="D19" s="80"/>
      <c r="E19" s="80"/>
      <c r="F19" s="80"/>
      <c r="G19" s="80"/>
      <c r="H19" s="80"/>
    </row>
    <row r="20" spans="1:8" ht="13.5" thickBot="1">
      <c r="A20" s="320" t="s">
        <v>64</v>
      </c>
      <c r="B20" s="321"/>
      <c r="C20" s="122">
        <f>+G11+J18</f>
        <v>605</v>
      </c>
      <c r="D20" s="123" t="s">
        <v>60</v>
      </c>
      <c r="E20" s="124">
        <f>+C20/H10</f>
        <v>24.444444444444443</v>
      </c>
      <c r="F20" s="125" t="s">
        <v>67</v>
      </c>
      <c r="G20" s="80"/>
      <c r="H20" s="80"/>
    </row>
    <row r="21" ht="13.5" thickBot="1"/>
    <row r="22" spans="3:11" ht="21.75" customHeight="1" thickBot="1">
      <c r="C22" s="314" t="s">
        <v>90</v>
      </c>
      <c r="D22" s="315"/>
      <c r="E22" s="315"/>
      <c r="F22" s="315"/>
      <c r="G22" s="315"/>
      <c r="H22" s="324"/>
      <c r="I22" s="152"/>
      <c r="J22" s="150"/>
      <c r="K22" s="150"/>
    </row>
    <row r="23" spans="1:11" ht="21.75" customHeight="1" thickBot="1">
      <c r="A23" s="322" t="s">
        <v>91</v>
      </c>
      <c r="B23" s="323"/>
      <c r="C23" s="244">
        <v>0.15</v>
      </c>
      <c r="D23" s="222">
        <v>0.1</v>
      </c>
      <c r="E23" s="222">
        <v>0.15</v>
      </c>
      <c r="F23" s="222" t="s">
        <v>71</v>
      </c>
      <c r="G23" s="222">
        <v>0.05</v>
      </c>
      <c r="H23" s="245">
        <v>0.55</v>
      </c>
      <c r="I23" s="223"/>
      <c r="J23" s="287" t="s">
        <v>92</v>
      </c>
      <c r="K23" s="288"/>
    </row>
    <row r="24" spans="1:11" ht="14.25" customHeight="1">
      <c r="A24" s="314" t="s">
        <v>43</v>
      </c>
      <c r="B24" s="315"/>
      <c r="C24" s="312" t="str">
        <f aca="true" t="shared" si="5" ref="C24:H24">IF(C5="","",C5)</f>
        <v>Grueso 5-20</v>
      </c>
      <c r="D24" s="312" t="str">
        <f t="shared" si="5"/>
        <v>Intermedio 5 - 10</v>
      </c>
      <c r="E24" s="312" t="str">
        <f t="shared" si="5"/>
        <v>Grueso 5-14</v>
      </c>
      <c r="F24" s="312" t="str">
        <f t="shared" si="5"/>
        <v>Arena terciada</v>
      </c>
      <c r="G24" s="312" t="str">
        <f t="shared" si="5"/>
        <v>Arena fina</v>
      </c>
      <c r="H24" s="316" t="str">
        <f t="shared" si="5"/>
        <v>Polvo</v>
      </c>
      <c r="I24" s="150"/>
      <c r="J24" s="318" t="s">
        <v>66</v>
      </c>
      <c r="K24" s="310" t="s">
        <v>93</v>
      </c>
    </row>
    <row r="25" spans="1:11" ht="17.25" customHeight="1" thickBot="1">
      <c r="A25" s="247" t="s">
        <v>94</v>
      </c>
      <c r="B25" s="248" t="s">
        <v>95</v>
      </c>
      <c r="C25" s="313"/>
      <c r="D25" s="313"/>
      <c r="E25" s="313"/>
      <c r="F25" s="313"/>
      <c r="G25" s="313"/>
      <c r="H25" s="317"/>
      <c r="I25" s="150"/>
      <c r="J25" s="319"/>
      <c r="K25" s="311"/>
    </row>
    <row r="26" spans="1:11" ht="21.75" customHeight="1">
      <c r="A26" s="243">
        <v>0.045</v>
      </c>
      <c r="B26" s="246">
        <v>54</v>
      </c>
      <c r="C26" s="246">
        <v>171.9</v>
      </c>
      <c r="D26" s="246">
        <v>114.6</v>
      </c>
      <c r="E26" s="246">
        <v>171.9</v>
      </c>
      <c r="F26" s="246" t="s">
        <v>71</v>
      </c>
      <c r="G26" s="246">
        <v>57.3</v>
      </c>
      <c r="H26" s="252">
        <v>630.3</v>
      </c>
      <c r="I26" s="150"/>
      <c r="J26" s="249">
        <v>585</v>
      </c>
      <c r="K26" s="250"/>
    </row>
    <row r="27" spans="1:11" ht="21.75" customHeight="1">
      <c r="A27" s="243">
        <v>0.05</v>
      </c>
      <c r="B27" s="246">
        <v>60</v>
      </c>
      <c r="C27" s="198">
        <v>171</v>
      </c>
      <c r="D27" s="198">
        <v>114</v>
      </c>
      <c r="E27" s="198">
        <v>171</v>
      </c>
      <c r="F27" s="198" t="s">
        <v>71</v>
      </c>
      <c r="G27" s="198">
        <v>57</v>
      </c>
      <c r="H27" s="253">
        <v>627</v>
      </c>
      <c r="I27" s="150"/>
      <c r="J27" s="199">
        <v>650</v>
      </c>
      <c r="K27" s="200"/>
    </row>
    <row r="28" spans="1:11" ht="21.75" customHeight="1">
      <c r="A28" s="243">
        <v>0.055</v>
      </c>
      <c r="B28" s="246">
        <v>66</v>
      </c>
      <c r="C28" s="198">
        <v>170.1</v>
      </c>
      <c r="D28" s="198">
        <v>113.4</v>
      </c>
      <c r="E28" s="198">
        <v>170.1</v>
      </c>
      <c r="F28" s="198" t="s">
        <v>71</v>
      </c>
      <c r="G28" s="198">
        <v>56.7</v>
      </c>
      <c r="H28" s="253">
        <v>623.7</v>
      </c>
      <c r="I28" s="150"/>
      <c r="J28" s="199">
        <v>715</v>
      </c>
      <c r="K28" s="200"/>
    </row>
    <row r="29" spans="1:11" ht="21.75" customHeight="1">
      <c r="A29" s="243"/>
      <c r="B29" s="246"/>
      <c r="C29" s="198"/>
      <c r="D29" s="198"/>
      <c r="E29" s="198"/>
      <c r="F29" s="198"/>
      <c r="G29" s="198"/>
      <c r="H29" s="253"/>
      <c r="I29" s="150"/>
      <c r="J29" s="199"/>
      <c r="K29" s="200"/>
    </row>
    <row r="30" spans="1:11" ht="21.75" customHeight="1">
      <c r="A30" s="243"/>
      <c r="B30" s="246"/>
      <c r="C30" s="198"/>
      <c r="D30" s="198"/>
      <c r="E30" s="198"/>
      <c r="F30" s="198"/>
      <c r="G30" s="198"/>
      <c r="H30" s="253"/>
      <c r="I30" s="150"/>
      <c r="J30" s="199"/>
      <c r="K30" s="200"/>
    </row>
    <row r="31" spans="1:11" ht="21.75" customHeight="1">
      <c r="A31" s="243"/>
      <c r="B31" s="246"/>
      <c r="C31" s="198"/>
      <c r="D31" s="198"/>
      <c r="E31" s="198"/>
      <c r="F31" s="198"/>
      <c r="G31" s="198"/>
      <c r="H31" s="253"/>
      <c r="I31" s="150"/>
      <c r="J31" s="199"/>
      <c r="K31" s="200"/>
    </row>
    <row r="32" spans="1:11" ht="21.75" customHeight="1">
      <c r="A32" s="243"/>
      <c r="B32" s="246"/>
      <c r="C32" s="198"/>
      <c r="D32" s="198"/>
      <c r="E32" s="198"/>
      <c r="F32" s="198"/>
      <c r="G32" s="198"/>
      <c r="H32" s="253"/>
      <c r="I32" s="150"/>
      <c r="J32" s="199"/>
      <c r="K32" s="200"/>
    </row>
    <row r="33" spans="1:11" ht="21.75" customHeight="1">
      <c r="A33" s="243"/>
      <c r="B33" s="246"/>
      <c r="C33" s="198"/>
      <c r="D33" s="198"/>
      <c r="E33" s="198"/>
      <c r="F33" s="198"/>
      <c r="G33" s="198"/>
      <c r="H33" s="253"/>
      <c r="I33" s="150"/>
      <c r="J33" s="199"/>
      <c r="K33" s="200"/>
    </row>
    <row r="34" spans="1:11" ht="21.75" customHeight="1" thickBot="1">
      <c r="A34" s="243"/>
      <c r="B34" s="246"/>
      <c r="C34" s="254"/>
      <c r="D34" s="254"/>
      <c r="E34" s="254"/>
      <c r="F34" s="254"/>
      <c r="G34" s="254"/>
      <c r="H34" s="255"/>
      <c r="I34" s="150"/>
      <c r="J34" s="251"/>
      <c r="K34" s="201"/>
    </row>
    <row r="35" spans="1:12" ht="21.75" customHeight="1" thickBot="1">
      <c r="A35" s="8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80"/>
    </row>
    <row r="36" spans="1:11" ht="21.75" customHeight="1">
      <c r="A36" s="256"/>
      <c r="B36" s="257"/>
      <c r="C36" s="258"/>
      <c r="D36" s="258"/>
      <c r="E36" s="258"/>
      <c r="F36" s="258"/>
      <c r="G36" s="258"/>
      <c r="H36" s="258"/>
      <c r="I36" s="258"/>
      <c r="J36" s="258"/>
      <c r="K36" s="259"/>
    </row>
    <row r="37" spans="1:11" ht="21.75" customHeight="1">
      <c r="A37" s="204"/>
      <c r="B37" s="202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21.75" customHeight="1">
      <c r="A38" s="204"/>
      <c r="B38" s="202"/>
      <c r="C38" s="202"/>
      <c r="D38" s="202"/>
      <c r="E38" s="202"/>
      <c r="F38" s="202"/>
      <c r="G38" s="202"/>
      <c r="H38" s="202"/>
      <c r="I38" s="202"/>
      <c r="J38" s="202"/>
      <c r="K38" s="203"/>
    </row>
    <row r="39" spans="1:11" ht="21.75" customHeight="1">
      <c r="A39" s="204"/>
      <c r="B39" s="202"/>
      <c r="C39" s="202"/>
      <c r="D39" s="202"/>
      <c r="E39" s="202"/>
      <c r="F39" s="202"/>
      <c r="G39" s="202"/>
      <c r="H39" s="202"/>
      <c r="I39" s="202"/>
      <c r="J39" s="202"/>
      <c r="K39" s="203"/>
    </row>
    <row r="40" spans="1:11" ht="21.75" customHeight="1">
      <c r="A40" s="204"/>
      <c r="B40" s="202"/>
      <c r="C40" s="202"/>
      <c r="D40" s="202"/>
      <c r="E40" s="235"/>
      <c r="F40" s="202"/>
      <c r="G40" s="202"/>
      <c r="H40" s="202"/>
      <c r="I40" s="202"/>
      <c r="J40" s="202"/>
      <c r="K40" s="203"/>
    </row>
    <row r="41" spans="1:11" ht="21.75" customHeight="1">
      <c r="A41" s="204"/>
      <c r="B41" s="202"/>
      <c r="C41" s="202"/>
      <c r="D41" s="202"/>
      <c r="E41" s="202"/>
      <c r="F41" s="202"/>
      <c r="G41" s="202"/>
      <c r="H41" s="202"/>
      <c r="I41" s="202"/>
      <c r="J41" s="202"/>
      <c r="K41" s="203"/>
    </row>
    <row r="42" spans="1:11" ht="21.75" customHeight="1">
      <c r="A42" s="204"/>
      <c r="B42" s="202"/>
      <c r="C42" s="202"/>
      <c r="D42" s="202"/>
      <c r="E42" s="202"/>
      <c r="F42" s="202"/>
      <c r="G42" s="202"/>
      <c r="H42" s="202"/>
      <c r="I42" s="202"/>
      <c r="J42" s="202"/>
      <c r="K42" s="203"/>
    </row>
    <row r="43" spans="1:11" ht="21.75" customHeight="1">
      <c r="A43" s="204"/>
      <c r="B43" s="202"/>
      <c r="C43" s="202"/>
      <c r="D43" s="202"/>
      <c r="E43" s="202"/>
      <c r="F43" s="202"/>
      <c r="G43" s="202"/>
      <c r="H43" s="202"/>
      <c r="I43" s="202"/>
      <c r="J43" s="202"/>
      <c r="K43" s="203"/>
    </row>
    <row r="44" spans="1:11" ht="21.75" customHeight="1">
      <c r="A44" s="204"/>
      <c r="B44" s="202"/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ht="21.75" customHeight="1">
      <c r="A45" s="204"/>
      <c r="B45" s="202"/>
      <c r="C45" s="202"/>
      <c r="D45" s="202"/>
      <c r="E45" s="202"/>
      <c r="F45" s="202"/>
      <c r="G45" s="202"/>
      <c r="H45" s="202"/>
      <c r="I45" s="202"/>
      <c r="J45" s="202"/>
      <c r="K45" s="203"/>
    </row>
    <row r="46" spans="1:11" ht="21.75" customHeight="1">
      <c r="A46" s="204"/>
      <c r="B46" s="202"/>
      <c r="C46" s="202"/>
      <c r="D46" s="202"/>
      <c r="E46" s="202"/>
      <c r="F46" s="202"/>
      <c r="G46" s="202"/>
      <c r="H46" s="202"/>
      <c r="I46" s="202"/>
      <c r="J46" s="202"/>
      <c r="K46" s="203"/>
    </row>
    <row r="47" spans="1:11" ht="21.75" customHeight="1">
      <c r="A47" s="204"/>
      <c r="B47" s="202"/>
      <c r="C47" s="202"/>
      <c r="D47" s="202"/>
      <c r="E47" s="202"/>
      <c r="F47" s="202"/>
      <c r="G47" s="202"/>
      <c r="H47" s="202"/>
      <c r="I47" s="202"/>
      <c r="J47" s="202"/>
      <c r="K47" s="203"/>
    </row>
    <row r="48" spans="1:11" ht="21.75" customHeight="1">
      <c r="A48" s="204"/>
      <c r="B48" s="202"/>
      <c r="C48" s="202"/>
      <c r="D48" s="202"/>
      <c r="E48" s="202"/>
      <c r="F48" s="202"/>
      <c r="G48" s="202"/>
      <c r="H48" s="202"/>
      <c r="I48" s="202"/>
      <c r="J48" s="202"/>
      <c r="K48" s="203"/>
    </row>
    <row r="49" spans="1:11" ht="21.75" customHeight="1">
      <c r="A49" s="204"/>
      <c r="B49" s="202"/>
      <c r="C49" s="202"/>
      <c r="D49" s="202"/>
      <c r="E49" s="202"/>
      <c r="F49" s="202"/>
      <c r="G49" s="202"/>
      <c r="H49" s="202"/>
      <c r="I49" s="202"/>
      <c r="J49" s="202"/>
      <c r="K49" s="203"/>
    </row>
    <row r="50" spans="1:11" ht="21.75" customHeight="1">
      <c r="A50" s="204"/>
      <c r="B50" s="202"/>
      <c r="C50" s="202"/>
      <c r="D50" s="202"/>
      <c r="E50" s="202"/>
      <c r="F50" s="202"/>
      <c r="G50" s="202"/>
      <c r="H50" s="202"/>
      <c r="I50" s="202"/>
      <c r="J50" s="202"/>
      <c r="K50" s="203"/>
    </row>
    <row r="51" spans="1:11" ht="21.75" customHeight="1">
      <c r="A51" s="204"/>
      <c r="B51" s="202"/>
      <c r="C51" s="202"/>
      <c r="D51" s="202"/>
      <c r="E51" s="202"/>
      <c r="F51" s="202"/>
      <c r="G51" s="202"/>
      <c r="H51" s="202"/>
      <c r="I51" s="202"/>
      <c r="J51" s="202"/>
      <c r="K51" s="203"/>
    </row>
    <row r="52" spans="1:11" ht="21.75" customHeight="1">
      <c r="A52" s="204"/>
      <c r="B52" s="202"/>
      <c r="C52" s="202"/>
      <c r="D52" s="202"/>
      <c r="E52" s="202"/>
      <c r="F52" s="202"/>
      <c r="G52" s="202"/>
      <c r="H52" s="202"/>
      <c r="I52" s="202"/>
      <c r="J52" s="202"/>
      <c r="K52" s="203"/>
    </row>
    <row r="53" spans="1:11" ht="21.75" customHeight="1">
      <c r="A53" s="204"/>
      <c r="B53" s="202"/>
      <c r="C53" s="202"/>
      <c r="D53" s="202"/>
      <c r="E53" s="202"/>
      <c r="F53" s="202"/>
      <c r="G53" s="202"/>
      <c r="H53" s="202"/>
      <c r="I53" s="202"/>
      <c r="J53" s="202"/>
      <c r="K53" s="203"/>
    </row>
    <row r="54" spans="1:11" ht="21.75" customHeight="1">
      <c r="A54" s="204"/>
      <c r="B54" s="202"/>
      <c r="C54" s="202"/>
      <c r="D54" s="202"/>
      <c r="E54" s="202"/>
      <c r="F54" s="202"/>
      <c r="G54" s="202"/>
      <c r="H54" s="202"/>
      <c r="I54" s="202"/>
      <c r="J54" s="202"/>
      <c r="K54" s="203"/>
    </row>
    <row r="55" spans="1:11" ht="21.75" customHeight="1">
      <c r="A55" s="204"/>
      <c r="B55" s="202"/>
      <c r="C55" s="202"/>
      <c r="D55" s="202"/>
      <c r="E55" s="202"/>
      <c r="F55" s="202"/>
      <c r="G55" s="202"/>
      <c r="H55" s="202"/>
      <c r="I55" s="202"/>
      <c r="J55" s="202"/>
      <c r="K55" s="203"/>
    </row>
    <row r="56" spans="1:11" ht="21.75" customHeight="1">
      <c r="A56" s="204"/>
      <c r="B56" s="202"/>
      <c r="C56" s="202"/>
      <c r="D56" s="202"/>
      <c r="E56" s="202"/>
      <c r="F56" s="202"/>
      <c r="G56" s="202"/>
      <c r="H56" s="202"/>
      <c r="I56" s="202"/>
      <c r="J56" s="202"/>
      <c r="K56" s="203"/>
    </row>
    <row r="57" spans="1:11" ht="21.75" customHeight="1">
      <c r="A57" s="204"/>
      <c r="B57" s="202"/>
      <c r="C57" s="202"/>
      <c r="D57" s="202"/>
      <c r="E57" s="202"/>
      <c r="F57" s="202"/>
      <c r="G57" s="202"/>
      <c r="H57" s="202"/>
      <c r="I57" s="202"/>
      <c r="J57" s="202"/>
      <c r="K57" s="203"/>
    </row>
    <row r="58" spans="1:11" ht="21.75" customHeight="1">
      <c r="A58" s="204"/>
      <c r="B58" s="202"/>
      <c r="C58" s="202"/>
      <c r="D58" s="202"/>
      <c r="E58" s="202"/>
      <c r="F58" s="202"/>
      <c r="G58" s="202"/>
      <c r="H58" s="202"/>
      <c r="I58" s="202"/>
      <c r="J58" s="202"/>
      <c r="K58" s="203"/>
    </row>
    <row r="59" spans="1:11" ht="21.75" customHeight="1">
      <c r="A59" s="204"/>
      <c r="B59" s="202"/>
      <c r="C59" s="202"/>
      <c r="D59" s="202"/>
      <c r="E59" s="202"/>
      <c r="F59" s="202"/>
      <c r="G59" s="202"/>
      <c r="H59" s="202"/>
      <c r="I59" s="202"/>
      <c r="J59" s="202"/>
      <c r="K59" s="203"/>
    </row>
    <row r="60" spans="1:11" ht="21.75" customHeight="1" thickBo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7"/>
    </row>
  </sheetData>
  <sheetProtection password="C1A9" sheet="1" objects="1" scenarios="1"/>
  <mergeCells count="30">
    <mergeCell ref="E24:E25"/>
    <mergeCell ref="F24:F25"/>
    <mergeCell ref="A20:B20"/>
    <mergeCell ref="A23:B23"/>
    <mergeCell ref="C22:H22"/>
    <mergeCell ref="K24:K25"/>
    <mergeCell ref="A1:H1"/>
    <mergeCell ref="G24:G25"/>
    <mergeCell ref="A24:B24"/>
    <mergeCell ref="H24:H25"/>
    <mergeCell ref="J24:J25"/>
    <mergeCell ref="C24:C25"/>
    <mergeCell ref="D24:D25"/>
    <mergeCell ref="A15:B15"/>
    <mergeCell ref="A16:B16"/>
    <mergeCell ref="A18:B18"/>
    <mergeCell ref="A11:B11"/>
    <mergeCell ref="A12:B12"/>
    <mergeCell ref="A13:B13"/>
    <mergeCell ref="A14:B14"/>
    <mergeCell ref="J23:K23"/>
    <mergeCell ref="E11:F11"/>
    <mergeCell ref="A2:B2"/>
    <mergeCell ref="A4:B4"/>
    <mergeCell ref="A5:B5"/>
    <mergeCell ref="A6:B6"/>
    <mergeCell ref="A7:B7"/>
    <mergeCell ref="A9:H9"/>
    <mergeCell ref="A10:B10"/>
    <mergeCell ref="A17:B17"/>
  </mergeCells>
  <printOptions horizontalCentered="1"/>
  <pageMargins left="0.3937007874015748" right="0.3937007874015748" top="0.984251968503937" bottom="0.984251968503937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A1">
      <selection activeCell="E1" sqref="E1"/>
    </sheetView>
  </sheetViews>
  <sheetFormatPr defaultColWidth="11.421875" defaultRowHeight="12.75"/>
  <cols>
    <col min="1" max="1" width="19.8515625" style="17" customWidth="1"/>
    <col min="2" max="7" width="15.7109375" style="17" customWidth="1"/>
    <col min="8" max="8" width="11.421875" style="81" customWidth="1"/>
    <col min="9" max="16384" width="11.421875" style="17" customWidth="1"/>
  </cols>
  <sheetData>
    <row r="1" spans="1:9" ht="48.75" customHeight="1">
      <c r="A1" s="327" t="s">
        <v>75</v>
      </c>
      <c r="B1" s="327"/>
      <c r="C1" s="327"/>
      <c r="G1" s="185" t="s">
        <v>74</v>
      </c>
      <c r="H1" s="184"/>
      <c r="I1" s="183"/>
    </row>
    <row r="2" spans="1:8" s="180" customFormat="1" ht="21.75" customHeight="1">
      <c r="A2" s="165" t="s">
        <v>29</v>
      </c>
      <c r="B2" s="328" t="str">
        <f>+Datos!B1</f>
        <v>Cabrera -  Lopez</v>
      </c>
      <c r="C2" s="328"/>
      <c r="D2" s="328"/>
      <c r="E2" s="328"/>
      <c r="F2" s="181" t="s">
        <v>31</v>
      </c>
      <c r="G2" s="186">
        <f>+Datos!F1</f>
        <v>38936</v>
      </c>
      <c r="H2" s="182"/>
    </row>
    <row r="3" spans="1:10" ht="21.75" customHeight="1">
      <c r="A3" s="330" t="s">
        <v>40</v>
      </c>
      <c r="B3" s="330"/>
      <c r="C3" s="329">
        <f>+Datos!C2</f>
        <v>0</v>
      </c>
      <c r="D3" s="329"/>
      <c r="E3" s="329"/>
      <c r="F3" s="329"/>
      <c r="G3" s="329"/>
      <c r="H3" s="171"/>
      <c r="I3" s="159"/>
      <c r="J3" s="159"/>
    </row>
    <row r="4" spans="3:10" ht="18" customHeight="1">
      <c r="C4" s="331"/>
      <c r="D4" s="331"/>
      <c r="E4" s="331"/>
      <c r="F4" s="331"/>
      <c r="G4" s="331"/>
      <c r="H4" s="171"/>
      <c r="I4" s="159"/>
      <c r="J4" s="159"/>
    </row>
    <row r="5" spans="1:8" ht="18" customHeight="1">
      <c r="A5" s="166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160"/>
    </row>
    <row r="6" spans="1:8" ht="18" customHeight="1">
      <c r="A6" s="166" t="s">
        <v>72</v>
      </c>
      <c r="B6" s="187" t="s">
        <v>45</v>
      </c>
      <c r="C6" s="188" t="s">
        <v>46</v>
      </c>
      <c r="D6" s="188" t="s">
        <v>51</v>
      </c>
      <c r="E6" s="188" t="s">
        <v>47</v>
      </c>
      <c r="F6" s="188" t="s">
        <v>52</v>
      </c>
      <c r="G6" s="188"/>
      <c r="H6" s="161"/>
    </row>
    <row r="7" spans="1:8" ht="31.5" customHeight="1">
      <c r="A7" s="166" t="s">
        <v>39</v>
      </c>
      <c r="B7" s="188" t="s">
        <v>48</v>
      </c>
      <c r="C7" s="188" t="s">
        <v>48</v>
      </c>
      <c r="D7" s="188" t="s">
        <v>49</v>
      </c>
      <c r="E7" s="188" t="s">
        <v>50</v>
      </c>
      <c r="F7" s="188" t="s">
        <v>48</v>
      </c>
      <c r="G7" s="188"/>
      <c r="H7" s="162"/>
    </row>
    <row r="8" spans="1:8" ht="28.5" customHeight="1">
      <c r="A8" s="41" t="s">
        <v>21</v>
      </c>
      <c r="B8" s="189">
        <v>2000</v>
      </c>
      <c r="C8" s="189">
        <v>2000</v>
      </c>
      <c r="D8" s="189">
        <v>2000</v>
      </c>
      <c r="E8" s="189">
        <v>2000</v>
      </c>
      <c r="F8" s="189">
        <v>2000</v>
      </c>
      <c r="G8" s="189"/>
      <c r="H8" s="163"/>
    </row>
    <row r="9" spans="1:8" ht="16.5" customHeight="1">
      <c r="A9" s="41" t="s">
        <v>0</v>
      </c>
      <c r="B9" s="41" t="s">
        <v>12</v>
      </c>
      <c r="C9" s="41" t="s">
        <v>12</v>
      </c>
      <c r="D9" s="41" t="s">
        <v>12</v>
      </c>
      <c r="E9" s="41" t="s">
        <v>12</v>
      </c>
      <c r="F9" s="41" t="s">
        <v>12</v>
      </c>
      <c r="G9" s="41" t="s">
        <v>12</v>
      </c>
      <c r="H9" s="172"/>
    </row>
    <row r="10" spans="1:8" ht="16.5" customHeight="1">
      <c r="A10" s="43" t="s">
        <v>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/>
      <c r="H10" s="173"/>
    </row>
    <row r="11" spans="1:8" ht="16.5" customHeight="1">
      <c r="A11" s="43" t="s">
        <v>2</v>
      </c>
      <c r="B11" s="164">
        <v>38</v>
      </c>
      <c r="C11" s="164">
        <v>0</v>
      </c>
      <c r="D11" s="164">
        <v>0</v>
      </c>
      <c r="E11" s="164">
        <v>0</v>
      </c>
      <c r="F11" s="164">
        <v>0</v>
      </c>
      <c r="G11" s="164"/>
      <c r="H11" s="173"/>
    </row>
    <row r="12" spans="1:8" ht="16.5" customHeight="1">
      <c r="A12" s="43" t="s">
        <v>3</v>
      </c>
      <c r="B12" s="164">
        <v>1474</v>
      </c>
      <c r="C12" s="164">
        <v>0</v>
      </c>
      <c r="D12" s="164">
        <v>4.5</v>
      </c>
      <c r="E12" s="164">
        <v>0</v>
      </c>
      <c r="F12" s="164">
        <v>14</v>
      </c>
      <c r="G12" s="164"/>
      <c r="H12" s="173"/>
    </row>
    <row r="13" spans="1:8" ht="16.5" customHeight="1">
      <c r="A13" s="43" t="s">
        <v>4</v>
      </c>
      <c r="B13" s="164">
        <v>428</v>
      </c>
      <c r="C13" s="164">
        <v>596</v>
      </c>
      <c r="D13" s="164">
        <v>13.5</v>
      </c>
      <c r="E13" s="164">
        <v>0</v>
      </c>
      <c r="F13" s="164">
        <v>3.5</v>
      </c>
      <c r="G13" s="164"/>
      <c r="H13" s="173"/>
    </row>
    <row r="14" spans="1:8" ht="16.5" customHeight="1">
      <c r="A14" s="43" t="s">
        <v>5</v>
      </c>
      <c r="B14" s="164">
        <v>33</v>
      </c>
      <c r="C14" s="164">
        <v>1328.5</v>
      </c>
      <c r="D14" s="164">
        <v>101</v>
      </c>
      <c r="E14" s="164">
        <v>0.5</v>
      </c>
      <c r="F14" s="164">
        <v>185.5</v>
      </c>
      <c r="G14" s="164"/>
      <c r="H14" s="173"/>
    </row>
    <row r="15" spans="1:8" ht="16.5" customHeight="1">
      <c r="A15" s="43" t="s">
        <v>6</v>
      </c>
      <c r="B15" s="164">
        <v>0</v>
      </c>
      <c r="C15" s="164">
        <v>52</v>
      </c>
      <c r="D15" s="164">
        <v>279.5</v>
      </c>
      <c r="E15" s="164">
        <v>0.5</v>
      </c>
      <c r="F15" s="164">
        <v>600.5</v>
      </c>
      <c r="G15" s="164"/>
      <c r="H15" s="173"/>
    </row>
    <row r="16" spans="1:8" ht="16.5" customHeight="1">
      <c r="A16" s="43" t="s">
        <v>7</v>
      </c>
      <c r="B16" s="164">
        <v>0</v>
      </c>
      <c r="C16" s="164">
        <v>0.5</v>
      </c>
      <c r="D16" s="164">
        <v>1573.5</v>
      </c>
      <c r="E16" s="164">
        <v>0.5</v>
      </c>
      <c r="F16" s="164">
        <v>337.5</v>
      </c>
      <c r="G16" s="164"/>
      <c r="H16" s="173"/>
    </row>
    <row r="17" spans="1:8" ht="16.5" customHeight="1">
      <c r="A17" s="43" t="s">
        <v>8</v>
      </c>
      <c r="B17" s="164">
        <v>0.5</v>
      </c>
      <c r="C17" s="164">
        <v>0</v>
      </c>
      <c r="D17" s="164">
        <v>0</v>
      </c>
      <c r="E17" s="164">
        <v>43</v>
      </c>
      <c r="F17" s="164">
        <v>233.5</v>
      </c>
      <c r="G17" s="164"/>
      <c r="H17" s="173"/>
    </row>
    <row r="18" spans="1:8" ht="16.5" customHeight="1">
      <c r="A18" s="43" t="s">
        <v>9</v>
      </c>
      <c r="B18" s="164">
        <v>0.5</v>
      </c>
      <c r="C18" s="164">
        <v>0.5</v>
      </c>
      <c r="D18" s="164">
        <v>0</v>
      </c>
      <c r="E18" s="164">
        <v>1513</v>
      </c>
      <c r="F18" s="164">
        <v>161.5</v>
      </c>
      <c r="G18" s="164"/>
      <c r="H18" s="173"/>
    </row>
    <row r="19" spans="1:8" ht="16.5" customHeight="1">
      <c r="A19" s="43" t="s">
        <v>10</v>
      </c>
      <c r="B19" s="164">
        <v>0.5</v>
      </c>
      <c r="C19" s="164">
        <v>2</v>
      </c>
      <c r="D19" s="164">
        <v>17</v>
      </c>
      <c r="E19" s="164">
        <v>409</v>
      </c>
      <c r="F19" s="164">
        <v>151</v>
      </c>
      <c r="G19" s="164"/>
      <c r="H19" s="173"/>
    </row>
    <row r="20" spans="1:10" ht="16.5" customHeight="1">
      <c r="A20" s="43" t="s">
        <v>11</v>
      </c>
      <c r="B20" s="164">
        <v>25.5</v>
      </c>
      <c r="C20" s="164">
        <v>20.5</v>
      </c>
      <c r="D20" s="164">
        <v>11</v>
      </c>
      <c r="E20" s="164">
        <v>33.5</v>
      </c>
      <c r="F20" s="164">
        <v>313</v>
      </c>
      <c r="G20" s="164" t="s">
        <v>71</v>
      </c>
      <c r="H20" s="173"/>
      <c r="I20" s="19"/>
      <c r="J20" s="19"/>
    </row>
    <row r="21" spans="1:10" ht="18" customHeight="1">
      <c r="A21" s="167" t="s">
        <v>76</v>
      </c>
      <c r="B21" s="168">
        <f>+IF(EstGranulometria!B12=0,"",EstGranulometria!B12)</f>
        <v>0.095</v>
      </c>
      <c r="C21" s="168">
        <f>+IF(EstGranulometria!C12=0,"",EstGranulometria!C12)</f>
      </c>
      <c r="D21" s="168">
        <f>+IF(EstGranulometria!D12=0,"",EstGranulometria!D12)</f>
        <v>0.34</v>
      </c>
      <c r="E21" s="168">
        <f>+IF(EstGranulometria!E12=0,"",EstGranulometria!E12)</f>
      </c>
      <c r="F21" s="168">
        <f>+IF(EstGranulometria!F12=0,"",EstGranulometria!F12)</f>
        <v>0.123</v>
      </c>
      <c r="G21" s="168">
        <f>+IF(EstGranulometria!G12=0,"",EstGranulometria!G12)</f>
        <v>0.387</v>
      </c>
      <c r="H21" s="162"/>
      <c r="I21" s="16"/>
      <c r="J21" s="16"/>
    </row>
    <row r="22" spans="1:10" ht="18" customHeight="1">
      <c r="A22" s="169"/>
      <c r="B22" s="170"/>
      <c r="C22" s="170"/>
      <c r="D22" s="170"/>
      <c r="E22" s="170"/>
      <c r="F22" s="170"/>
      <c r="G22" s="170"/>
      <c r="H22" s="162"/>
      <c r="I22" s="16"/>
      <c r="J22" s="16"/>
    </row>
    <row r="23" spans="4:5" ht="18" customHeight="1">
      <c r="D23" s="326" t="s">
        <v>30</v>
      </c>
      <c r="E23" s="326"/>
    </row>
    <row r="24" spans="1:5" ht="24.75" customHeight="1">
      <c r="A24" s="41" t="s">
        <v>0</v>
      </c>
      <c r="B24" s="41" t="s">
        <v>73</v>
      </c>
      <c r="C24" s="41" t="str">
        <f>+EstGranulometria!C16</f>
        <v>Observación</v>
      </c>
      <c r="D24" s="174" t="s">
        <v>15</v>
      </c>
      <c r="E24" s="41" t="s">
        <v>14</v>
      </c>
    </row>
    <row r="25" spans="1:5" ht="18" customHeight="1">
      <c r="A25" s="43" t="s">
        <v>1</v>
      </c>
      <c r="B25" s="190">
        <f>+EstGranulometria!B17</f>
        <v>1</v>
      </c>
      <c r="C25" s="191" t="str">
        <f>+EstGranulometria!C17</f>
        <v>cumple</v>
      </c>
      <c r="D25" s="192">
        <v>1</v>
      </c>
      <c r="E25" s="193">
        <v>1</v>
      </c>
    </row>
    <row r="26" spans="1:5" ht="18" customHeight="1">
      <c r="A26" s="43" t="s">
        <v>2</v>
      </c>
      <c r="B26" s="190">
        <f>+EstGranulometria!B18</f>
        <v>0.9981790323402527</v>
      </c>
      <c r="C26" s="191" t="str">
        <f>+EstGranulometria!C18</f>
        <v>Tiene 0,1% de menos</v>
      </c>
      <c r="D26" s="192">
        <v>1</v>
      </c>
      <c r="E26" s="193">
        <v>1</v>
      </c>
    </row>
    <row r="27" spans="1:5" ht="18" customHeight="1">
      <c r="A27" s="43" t="s">
        <v>3</v>
      </c>
      <c r="B27" s="190">
        <f>+EstGranulometria!B19</f>
        <v>0.9146683547229818</v>
      </c>
      <c r="C27" s="191" t="str">
        <f>+EstGranulometria!C19</f>
        <v>cumple</v>
      </c>
      <c r="D27" s="192">
        <v>0.8</v>
      </c>
      <c r="E27" s="193">
        <v>1</v>
      </c>
    </row>
    <row r="28" spans="1:5" ht="18" customHeight="1">
      <c r="A28" s="43" t="s">
        <v>4</v>
      </c>
      <c r="B28" s="190">
        <f>+EstGranulometria!B20</f>
        <v>0.7324638869090834</v>
      </c>
      <c r="C28" s="191" t="str">
        <f>+EstGranulometria!C20</f>
        <v>cumple</v>
      </c>
      <c r="D28" s="192">
        <v>0.7</v>
      </c>
      <c r="E28" s="193">
        <v>0.9</v>
      </c>
    </row>
    <row r="29" spans="1:5" ht="18" customHeight="1">
      <c r="A29" s="43" t="s">
        <v>5</v>
      </c>
      <c r="B29" s="190">
        <f>+EstGranulometria!B21</f>
        <v>0.5194124262111924</v>
      </c>
      <c r="C29" s="191" t="str">
        <f>+EstGranulometria!C21</f>
        <v>cumple</v>
      </c>
      <c r="D29" s="192">
        <v>0.5</v>
      </c>
      <c r="E29" s="193">
        <v>0.7</v>
      </c>
    </row>
    <row r="30" spans="1:5" ht="18" customHeight="1">
      <c r="A30" s="43" t="s">
        <v>6</v>
      </c>
      <c r="B30" s="190">
        <f>+EstGranulometria!B22</f>
        <v>0.39984606702774134</v>
      </c>
      <c r="C30" s="191" t="str">
        <f>+EstGranulometria!C22</f>
        <v>cumple</v>
      </c>
      <c r="D30" s="192">
        <v>0.35</v>
      </c>
      <c r="E30" s="193">
        <v>0.5</v>
      </c>
    </row>
    <row r="31" spans="1:5" ht="18" customHeight="1">
      <c r="A31" s="43" t="s">
        <v>7</v>
      </c>
      <c r="B31" s="190">
        <f>+EstGranulometria!B23</f>
        <v>0.2650303135603826</v>
      </c>
      <c r="C31" s="191" t="str">
        <f>+EstGranulometria!C23</f>
        <v>cumple</v>
      </c>
      <c r="D31" s="192">
        <v>0.18</v>
      </c>
      <c r="E31" s="193">
        <v>0.29</v>
      </c>
    </row>
    <row r="32" spans="1:5" ht="18" customHeight="1">
      <c r="A32" s="43" t="s">
        <v>8</v>
      </c>
      <c r="B32" s="190">
        <f>+EstGranulometria!B24</f>
        <v>0.13299616173419115</v>
      </c>
      <c r="C32" s="191" t="str">
        <f>+EstGranulometria!C24</f>
        <v>cumple</v>
      </c>
      <c r="D32" s="192">
        <v>0.13</v>
      </c>
      <c r="E32" s="193">
        <v>0.23</v>
      </c>
    </row>
    <row r="33" spans="1:5" ht="18" customHeight="1">
      <c r="A33" s="43" t="s">
        <v>9</v>
      </c>
      <c r="B33" s="190">
        <f>+EstGranulometria!B25</f>
        <v>0.05943219969951648</v>
      </c>
      <c r="C33" s="191" t="str">
        <f>+EstGranulometria!C25</f>
        <v>Tiene 2% de menos</v>
      </c>
      <c r="D33" s="192">
        <v>0.08</v>
      </c>
      <c r="E33" s="193">
        <v>0.16</v>
      </c>
    </row>
    <row r="34" spans="1:5" ht="18" customHeight="1">
      <c r="A34" s="43" t="s">
        <v>10</v>
      </c>
      <c r="B34" s="190">
        <f>+EstGranulometria!B26</f>
        <v>0.03387820658503265</v>
      </c>
      <c r="C34" s="191" t="str">
        <f>+EstGranulometria!C26</f>
        <v>Tiene 0,6% de menos</v>
      </c>
      <c r="D34" s="192">
        <v>0.04</v>
      </c>
      <c r="E34" s="193">
        <v>0.1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6:7" ht="18" customHeight="1">
      <c r="F47" s="194"/>
      <c r="G47" s="194"/>
    </row>
    <row r="48" spans="6:7" ht="18" customHeight="1">
      <c r="F48" s="325" t="s">
        <v>77</v>
      </c>
      <c r="G48" s="325"/>
    </row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password="C1A9" sheet="1" objects="1" scenarios="1"/>
  <mergeCells count="7">
    <mergeCell ref="F48:G48"/>
    <mergeCell ref="D23:E23"/>
    <mergeCell ref="A1:C1"/>
    <mergeCell ref="B2:E2"/>
    <mergeCell ref="C3:G3"/>
    <mergeCell ref="A3:B3"/>
    <mergeCell ref="C4:G4"/>
  </mergeCells>
  <printOptions/>
  <pageMargins left="0.5905511811023623" right="0.5905511811023623" top="0.3937007874015748" bottom="0.3937007874015748" header="0" footer="0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H8" sqref="H8:I8"/>
    </sheetView>
  </sheetViews>
  <sheetFormatPr defaultColWidth="11.421875" defaultRowHeight="12.75"/>
  <cols>
    <col min="1" max="1" width="16.8515625" style="17" customWidth="1"/>
    <col min="2" max="7" width="15.7109375" style="17" customWidth="1"/>
    <col min="8" max="8" width="10.7109375" style="81" customWidth="1"/>
    <col min="9" max="9" width="10.7109375" style="17" customWidth="1"/>
    <col min="10" max="16384" width="11.421875" style="17" customWidth="1"/>
  </cols>
  <sheetData>
    <row r="1" spans="1:9" ht="48.75" customHeight="1">
      <c r="A1" s="335" t="s">
        <v>75</v>
      </c>
      <c r="B1" s="335"/>
      <c r="C1" s="335"/>
      <c r="H1" s="184"/>
      <c r="I1" s="185" t="s">
        <v>74</v>
      </c>
    </row>
    <row r="2" spans="1:9" s="180" customFormat="1" ht="30" customHeight="1">
      <c r="A2" s="214" t="s">
        <v>29</v>
      </c>
      <c r="B2" s="336"/>
      <c r="C2" s="336"/>
      <c r="D2" s="336"/>
      <c r="E2" s="336"/>
      <c r="F2" s="218"/>
      <c r="G2" s="215" t="s">
        <v>31</v>
      </c>
      <c r="H2" s="218"/>
      <c r="I2" s="216"/>
    </row>
    <row r="3" spans="1:10" ht="30" customHeight="1">
      <c r="A3" s="337" t="s">
        <v>40</v>
      </c>
      <c r="B3" s="337"/>
      <c r="C3" s="338"/>
      <c r="D3" s="338"/>
      <c r="E3" s="338"/>
      <c r="F3" s="338"/>
      <c r="G3" s="338"/>
      <c r="H3" s="217"/>
      <c r="I3" s="217"/>
      <c r="J3" s="159"/>
    </row>
    <row r="4" spans="3:10" ht="18" customHeight="1">
      <c r="C4" s="332"/>
      <c r="D4" s="332"/>
      <c r="E4" s="332"/>
      <c r="F4" s="332"/>
      <c r="G4" s="332"/>
      <c r="H4" s="171"/>
      <c r="I4" s="159"/>
      <c r="J4" s="159"/>
    </row>
    <row r="5" spans="1:8" ht="24" customHeight="1">
      <c r="A5" s="42" t="s">
        <v>20</v>
      </c>
      <c r="B5" s="220">
        <v>1</v>
      </c>
      <c r="C5" s="220">
        <v>2</v>
      </c>
      <c r="D5" s="220">
        <v>3</v>
      </c>
      <c r="E5" s="220">
        <v>4</v>
      </c>
      <c r="F5" s="220">
        <v>5</v>
      </c>
      <c r="G5" s="220">
        <v>6</v>
      </c>
      <c r="H5" s="160"/>
    </row>
    <row r="6" spans="1:8" ht="30" customHeight="1">
      <c r="A6" s="166" t="s">
        <v>72</v>
      </c>
      <c r="B6" s="187"/>
      <c r="C6" s="188"/>
      <c r="D6" s="188"/>
      <c r="E6" s="188"/>
      <c r="F6" s="188"/>
      <c r="G6" s="188"/>
      <c r="H6" s="161"/>
    </row>
    <row r="7" spans="1:8" ht="30" customHeight="1">
      <c r="A7" s="166" t="s">
        <v>39</v>
      </c>
      <c r="B7" s="188"/>
      <c r="C7" s="188"/>
      <c r="D7" s="188"/>
      <c r="E7" s="188"/>
      <c r="F7" s="188"/>
      <c r="G7" s="188"/>
      <c r="H7" s="162"/>
    </row>
    <row r="8" spans="1:9" ht="30" customHeight="1">
      <c r="A8" s="41" t="s">
        <v>21</v>
      </c>
      <c r="B8" s="189"/>
      <c r="C8" s="189"/>
      <c r="D8" s="189"/>
      <c r="E8" s="189"/>
      <c r="F8" s="189"/>
      <c r="G8" s="189"/>
      <c r="H8" s="333" t="s">
        <v>30</v>
      </c>
      <c r="I8" s="334"/>
    </row>
    <row r="9" spans="1:9" ht="27.75" customHeight="1">
      <c r="A9" s="220" t="s">
        <v>0</v>
      </c>
      <c r="B9" s="220" t="s">
        <v>12</v>
      </c>
      <c r="C9" s="220" t="s">
        <v>12</v>
      </c>
      <c r="D9" s="220" t="s">
        <v>12</v>
      </c>
      <c r="E9" s="220" t="s">
        <v>12</v>
      </c>
      <c r="F9" s="220" t="s">
        <v>12</v>
      </c>
      <c r="G9" s="220" t="s">
        <v>12</v>
      </c>
      <c r="H9" s="174" t="s">
        <v>15</v>
      </c>
      <c r="I9" s="41" t="s">
        <v>14</v>
      </c>
    </row>
    <row r="10" spans="1:9" ht="30" customHeight="1">
      <c r="A10" s="219" t="s">
        <v>1</v>
      </c>
      <c r="B10" s="164"/>
      <c r="C10" s="164"/>
      <c r="D10" s="164"/>
      <c r="E10" s="164"/>
      <c r="F10" s="164"/>
      <c r="G10" s="164"/>
      <c r="H10" s="192"/>
      <c r="I10" s="193"/>
    </row>
    <row r="11" spans="1:9" ht="30" customHeight="1">
      <c r="A11" s="219" t="s">
        <v>2</v>
      </c>
      <c r="B11" s="164"/>
      <c r="C11" s="164"/>
      <c r="D11" s="164"/>
      <c r="E11" s="164"/>
      <c r="F11" s="164"/>
      <c r="G11" s="164"/>
      <c r="H11" s="192"/>
      <c r="I11" s="193"/>
    </row>
    <row r="12" spans="1:9" ht="30" customHeight="1">
      <c r="A12" s="219" t="s">
        <v>3</v>
      </c>
      <c r="B12" s="164"/>
      <c r="C12" s="164"/>
      <c r="D12" s="164"/>
      <c r="E12" s="164"/>
      <c r="F12" s="164"/>
      <c r="G12" s="164"/>
      <c r="H12" s="192"/>
      <c r="I12" s="193"/>
    </row>
    <row r="13" spans="1:9" ht="30" customHeight="1">
      <c r="A13" s="219" t="s">
        <v>4</v>
      </c>
      <c r="B13" s="164"/>
      <c r="C13" s="164"/>
      <c r="D13" s="164"/>
      <c r="E13" s="164"/>
      <c r="F13" s="164"/>
      <c r="G13" s="164"/>
      <c r="H13" s="192"/>
      <c r="I13" s="193"/>
    </row>
    <row r="14" spans="1:9" ht="30" customHeight="1">
      <c r="A14" s="219" t="s">
        <v>5</v>
      </c>
      <c r="B14" s="164"/>
      <c r="C14" s="164"/>
      <c r="D14" s="164"/>
      <c r="E14" s="164"/>
      <c r="F14" s="164"/>
      <c r="G14" s="164"/>
      <c r="H14" s="192"/>
      <c r="I14" s="193"/>
    </row>
    <row r="15" spans="1:9" ht="30" customHeight="1">
      <c r="A15" s="219" t="s">
        <v>6</v>
      </c>
      <c r="B15" s="164"/>
      <c r="C15" s="164"/>
      <c r="D15" s="164"/>
      <c r="E15" s="164"/>
      <c r="F15" s="164"/>
      <c r="G15" s="164"/>
      <c r="H15" s="192"/>
      <c r="I15" s="193"/>
    </row>
    <row r="16" spans="1:9" ht="30" customHeight="1">
      <c r="A16" s="219" t="s">
        <v>7</v>
      </c>
      <c r="B16" s="164"/>
      <c r="C16" s="164"/>
      <c r="D16" s="164"/>
      <c r="E16" s="164"/>
      <c r="F16" s="164"/>
      <c r="G16" s="164"/>
      <c r="H16" s="192"/>
      <c r="I16" s="193"/>
    </row>
    <row r="17" spans="1:9" ht="30" customHeight="1">
      <c r="A17" s="219" t="s">
        <v>8</v>
      </c>
      <c r="B17" s="164"/>
      <c r="C17" s="164"/>
      <c r="D17" s="164"/>
      <c r="E17" s="164"/>
      <c r="F17" s="164"/>
      <c r="G17" s="164"/>
      <c r="H17" s="192"/>
      <c r="I17" s="193"/>
    </row>
    <row r="18" spans="1:9" ht="30" customHeight="1">
      <c r="A18" s="219" t="s">
        <v>9</v>
      </c>
      <c r="B18" s="164"/>
      <c r="C18" s="164"/>
      <c r="D18" s="164"/>
      <c r="E18" s="164"/>
      <c r="F18" s="164"/>
      <c r="G18" s="164"/>
      <c r="H18" s="192"/>
      <c r="I18" s="193"/>
    </row>
    <row r="19" spans="1:9" ht="30" customHeight="1">
      <c r="A19" s="219" t="s">
        <v>10</v>
      </c>
      <c r="B19" s="164"/>
      <c r="C19" s="164"/>
      <c r="D19" s="164"/>
      <c r="E19" s="164"/>
      <c r="F19" s="164"/>
      <c r="G19" s="164"/>
      <c r="H19" s="192"/>
      <c r="I19" s="193"/>
    </row>
    <row r="20" spans="1:9" ht="9.75" customHeight="1" thickBot="1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 ht="9.75" customHeight="1">
      <c r="A21" s="327"/>
      <c r="B21" s="327"/>
      <c r="C21" s="327"/>
      <c r="H21" s="184"/>
      <c r="I21" s="185"/>
    </row>
    <row r="22" spans="1:9" ht="48.75" customHeight="1">
      <c r="A22" s="335" t="s">
        <v>75</v>
      </c>
      <c r="B22" s="335"/>
      <c r="C22" s="335"/>
      <c r="H22" s="184"/>
      <c r="I22" s="185" t="s">
        <v>74</v>
      </c>
    </row>
    <row r="23" spans="1:9" s="180" customFormat="1" ht="30" customHeight="1">
      <c r="A23" s="214" t="s">
        <v>29</v>
      </c>
      <c r="B23" s="336"/>
      <c r="C23" s="336"/>
      <c r="D23" s="336"/>
      <c r="E23" s="336"/>
      <c r="F23" s="218"/>
      <c r="G23" s="215" t="s">
        <v>31</v>
      </c>
      <c r="H23" s="218"/>
      <c r="I23" s="216"/>
    </row>
    <row r="24" spans="1:10" ht="30" customHeight="1">
      <c r="A24" s="337" t="s">
        <v>40</v>
      </c>
      <c r="B24" s="337"/>
      <c r="C24" s="338"/>
      <c r="D24" s="338"/>
      <c r="E24" s="338"/>
      <c r="F24" s="338"/>
      <c r="G24" s="338"/>
      <c r="H24" s="217"/>
      <c r="I24" s="217"/>
      <c r="J24" s="159"/>
    </row>
    <row r="25" spans="3:10" ht="18" customHeight="1">
      <c r="C25" s="332"/>
      <c r="D25" s="332"/>
      <c r="E25" s="332"/>
      <c r="F25" s="332"/>
      <c r="G25" s="332"/>
      <c r="H25" s="171"/>
      <c r="I25" s="159"/>
      <c r="J25" s="159"/>
    </row>
    <row r="26" spans="1:8" ht="24" customHeight="1">
      <c r="A26" s="42" t="s">
        <v>20</v>
      </c>
      <c r="B26" s="220">
        <v>1</v>
      </c>
      <c r="C26" s="220">
        <v>2</v>
      </c>
      <c r="D26" s="220">
        <v>3</v>
      </c>
      <c r="E26" s="220">
        <v>4</v>
      </c>
      <c r="F26" s="220">
        <v>5</v>
      </c>
      <c r="G26" s="220">
        <v>6</v>
      </c>
      <c r="H26" s="160"/>
    </row>
    <row r="27" spans="1:8" ht="30" customHeight="1">
      <c r="A27" s="166" t="s">
        <v>72</v>
      </c>
      <c r="B27" s="187"/>
      <c r="C27" s="188"/>
      <c r="D27" s="188"/>
      <c r="E27" s="188"/>
      <c r="F27" s="188"/>
      <c r="G27" s="188"/>
      <c r="H27" s="161"/>
    </row>
    <row r="28" spans="1:8" ht="30" customHeight="1">
      <c r="A28" s="166" t="s">
        <v>39</v>
      </c>
      <c r="B28" s="188"/>
      <c r="C28" s="188"/>
      <c r="D28" s="188"/>
      <c r="E28" s="188"/>
      <c r="F28" s="188"/>
      <c r="G28" s="188"/>
      <c r="H28" s="162"/>
    </row>
    <row r="29" spans="1:9" ht="30" customHeight="1">
      <c r="A29" s="41" t="s">
        <v>21</v>
      </c>
      <c r="B29" s="189"/>
      <c r="C29" s="189"/>
      <c r="D29" s="189"/>
      <c r="E29" s="189"/>
      <c r="F29" s="189"/>
      <c r="G29" s="189"/>
      <c r="H29" s="333" t="s">
        <v>30</v>
      </c>
      <c r="I29" s="334"/>
    </row>
    <row r="30" spans="1:9" ht="27.75" customHeight="1">
      <c r="A30" s="220" t="s">
        <v>0</v>
      </c>
      <c r="B30" s="220" t="s">
        <v>12</v>
      </c>
      <c r="C30" s="220" t="s">
        <v>12</v>
      </c>
      <c r="D30" s="220" t="s">
        <v>12</v>
      </c>
      <c r="E30" s="220" t="s">
        <v>12</v>
      </c>
      <c r="F30" s="220" t="s">
        <v>12</v>
      </c>
      <c r="G30" s="220" t="s">
        <v>12</v>
      </c>
      <c r="H30" s="174" t="s">
        <v>15</v>
      </c>
      <c r="I30" s="41" t="s">
        <v>14</v>
      </c>
    </row>
    <row r="31" spans="1:9" ht="30" customHeight="1">
      <c r="A31" s="219" t="s">
        <v>1</v>
      </c>
      <c r="B31" s="164"/>
      <c r="C31" s="164"/>
      <c r="D31" s="164"/>
      <c r="E31" s="164"/>
      <c r="F31" s="164"/>
      <c r="G31" s="164"/>
      <c r="H31" s="192"/>
      <c r="I31" s="193"/>
    </row>
    <row r="32" spans="1:9" ht="30" customHeight="1">
      <c r="A32" s="219" t="s">
        <v>2</v>
      </c>
      <c r="B32" s="164"/>
      <c r="C32" s="164"/>
      <c r="D32" s="164"/>
      <c r="E32" s="164"/>
      <c r="F32" s="164"/>
      <c r="G32" s="164"/>
      <c r="H32" s="192"/>
      <c r="I32" s="193"/>
    </row>
    <row r="33" spans="1:9" ht="30" customHeight="1">
      <c r="A33" s="219" t="s">
        <v>3</v>
      </c>
      <c r="B33" s="164"/>
      <c r="C33" s="164"/>
      <c r="D33" s="164"/>
      <c r="E33" s="164"/>
      <c r="F33" s="164"/>
      <c r="G33" s="164"/>
      <c r="H33" s="192"/>
      <c r="I33" s="193"/>
    </row>
    <row r="34" spans="1:9" ht="30" customHeight="1">
      <c r="A34" s="219" t="s">
        <v>4</v>
      </c>
      <c r="B34" s="164"/>
      <c r="C34" s="164"/>
      <c r="D34" s="164"/>
      <c r="E34" s="164"/>
      <c r="F34" s="164"/>
      <c r="G34" s="164"/>
      <c r="H34" s="192"/>
      <c r="I34" s="193"/>
    </row>
    <row r="35" spans="1:9" ht="30" customHeight="1">
      <c r="A35" s="219" t="s">
        <v>5</v>
      </c>
      <c r="B35" s="164"/>
      <c r="C35" s="164"/>
      <c r="D35" s="164"/>
      <c r="E35" s="164"/>
      <c r="F35" s="164"/>
      <c r="G35" s="164"/>
      <c r="H35" s="192"/>
      <c r="I35" s="193"/>
    </row>
    <row r="36" spans="1:9" ht="30" customHeight="1">
      <c r="A36" s="219" t="s">
        <v>6</v>
      </c>
      <c r="B36" s="164"/>
      <c r="C36" s="164"/>
      <c r="D36" s="164"/>
      <c r="E36" s="164"/>
      <c r="F36" s="164"/>
      <c r="G36" s="164"/>
      <c r="H36" s="192"/>
      <c r="I36" s="193"/>
    </row>
    <row r="37" spans="1:9" ht="30" customHeight="1">
      <c r="A37" s="219" t="s">
        <v>7</v>
      </c>
      <c r="B37" s="164"/>
      <c r="C37" s="164"/>
      <c r="D37" s="164"/>
      <c r="E37" s="164"/>
      <c r="F37" s="164"/>
      <c r="G37" s="164"/>
      <c r="H37" s="192"/>
      <c r="I37" s="193"/>
    </row>
    <row r="38" spans="1:9" ht="30" customHeight="1">
      <c r="A38" s="219" t="s">
        <v>8</v>
      </c>
      <c r="B38" s="164"/>
      <c r="C38" s="164"/>
      <c r="D38" s="164"/>
      <c r="E38" s="164"/>
      <c r="F38" s="164"/>
      <c r="G38" s="164"/>
      <c r="H38" s="192"/>
      <c r="I38" s="193"/>
    </row>
    <row r="39" spans="1:9" ht="30" customHeight="1">
      <c r="A39" s="219" t="s">
        <v>9</v>
      </c>
      <c r="B39" s="164"/>
      <c r="C39" s="164"/>
      <c r="D39" s="164"/>
      <c r="E39" s="164"/>
      <c r="F39" s="164"/>
      <c r="G39" s="164"/>
      <c r="H39" s="192"/>
      <c r="I39" s="193"/>
    </row>
    <row r="40" spans="1:9" ht="30" customHeight="1">
      <c r="A40" s="219" t="s">
        <v>10</v>
      </c>
      <c r="B40" s="164"/>
      <c r="C40" s="164"/>
      <c r="D40" s="164"/>
      <c r="E40" s="164"/>
      <c r="F40" s="164"/>
      <c r="G40" s="164"/>
      <c r="H40" s="192"/>
      <c r="I40" s="193"/>
    </row>
  </sheetData>
  <sheetProtection password="C1A9" sheet="1" objects="1" scenarios="1"/>
  <mergeCells count="13">
    <mergeCell ref="H29:I29"/>
    <mergeCell ref="A21:C21"/>
    <mergeCell ref="B23:E23"/>
    <mergeCell ref="A24:B24"/>
    <mergeCell ref="C24:G24"/>
    <mergeCell ref="C25:G25"/>
    <mergeCell ref="C4:G4"/>
    <mergeCell ref="H8:I8"/>
    <mergeCell ref="A22:C22"/>
    <mergeCell ref="A1:C1"/>
    <mergeCell ref="B2:E2"/>
    <mergeCell ref="A3:B3"/>
    <mergeCell ref="C3:G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2"/>
  <sheetViews>
    <sheetView workbookViewId="0" topLeftCell="A24">
      <selection activeCell="A24" sqref="A1:IV16384"/>
    </sheetView>
  </sheetViews>
  <sheetFormatPr defaultColWidth="11.421875" defaultRowHeight="12.75"/>
  <cols>
    <col min="1" max="1" width="15.00390625" style="1" customWidth="1"/>
    <col min="2" max="2" width="11.421875" style="1" customWidth="1"/>
    <col min="3" max="3" width="18.421875" style="9" customWidth="1"/>
    <col min="4" max="16384" width="11.421875" style="1" customWidth="1"/>
  </cols>
  <sheetData>
    <row r="1" ht="12.75" hidden="1"/>
    <row r="2" ht="27.75" customHeight="1" hidden="1"/>
    <row r="3" ht="13.5" hidden="1" thickBot="1">
      <c r="A3" s="29" t="s">
        <v>33</v>
      </c>
    </row>
    <row r="4" ht="13.5" hidden="1" thickBot="1">
      <c r="A4" s="2"/>
    </row>
    <row r="5" ht="14.25" hidden="1">
      <c r="A5" s="1" t="s">
        <v>28</v>
      </c>
    </row>
    <row r="6" spans="3:4" ht="12.75" hidden="1">
      <c r="C6" s="9" t="s">
        <v>27</v>
      </c>
      <c r="D6" s="1">
        <f>(POWER(B19,0.45))/100</f>
        <v>0.03116086507375345</v>
      </c>
    </row>
    <row r="7" spans="1:3" s="21" customFormat="1" ht="23.25" customHeight="1" hidden="1">
      <c r="A7" s="30" t="s">
        <v>0</v>
      </c>
      <c r="B7" s="30" t="s">
        <v>24</v>
      </c>
      <c r="C7" s="31" t="s">
        <v>34</v>
      </c>
    </row>
    <row r="8" spans="1:3" s="7" customFormat="1" ht="11.25" hidden="1">
      <c r="A8" s="4" t="s">
        <v>1</v>
      </c>
      <c r="B8" s="5">
        <v>25</v>
      </c>
      <c r="C8" s="6">
        <f>+IF(B8&gt;$B$19,1,POWER(B8,0.45)/$D$6/100)</f>
        <v>1</v>
      </c>
    </row>
    <row r="9" spans="1:3" s="7" customFormat="1" ht="11.25" hidden="1">
      <c r="A9" s="4" t="s">
        <v>2</v>
      </c>
      <c r="B9" s="5">
        <v>19</v>
      </c>
      <c r="C9" s="6">
        <f aca="true" t="shared" si="0" ref="C9:C17">+IF(B9&gt;$B$19,1,POWER(B9,0.45)/$D$6/100)</f>
        <v>1</v>
      </c>
    </row>
    <row r="10" spans="1:3" s="7" customFormat="1" ht="11.25" hidden="1">
      <c r="A10" s="4" t="s">
        <v>3</v>
      </c>
      <c r="B10" s="5">
        <v>12.5</v>
      </c>
      <c r="C10" s="6">
        <f t="shared" si="0"/>
        <v>1</v>
      </c>
    </row>
    <row r="11" spans="1:3" s="7" customFormat="1" ht="11.25" hidden="1">
      <c r="A11" s="4" t="s">
        <v>4</v>
      </c>
      <c r="B11" s="5">
        <v>9.5</v>
      </c>
      <c r="C11" s="6">
        <f t="shared" si="0"/>
        <v>0.8838246634191991</v>
      </c>
    </row>
    <row r="12" spans="1:3" s="7" customFormat="1" ht="11.25" hidden="1">
      <c r="A12" s="4" t="s">
        <v>5</v>
      </c>
      <c r="B12" s="5">
        <v>4.75</v>
      </c>
      <c r="C12" s="6">
        <f t="shared" si="0"/>
        <v>0.646997523718003</v>
      </c>
    </row>
    <row r="13" spans="1:3" s="7" customFormat="1" ht="11.25" hidden="1">
      <c r="A13" s="4" t="s">
        <v>6</v>
      </c>
      <c r="B13" s="5">
        <v>2.36</v>
      </c>
      <c r="C13" s="6">
        <f t="shared" si="0"/>
        <v>0.4722814582004702</v>
      </c>
    </row>
    <row r="14" spans="1:3" s="7" customFormat="1" ht="11.25" hidden="1">
      <c r="A14" s="4" t="s">
        <v>7</v>
      </c>
      <c r="B14" s="5">
        <v>0.6</v>
      </c>
      <c r="C14" s="6">
        <f t="shared" si="0"/>
        <v>0.2550107900918065</v>
      </c>
    </row>
    <row r="15" spans="1:3" s="7" customFormat="1" ht="11.25" hidden="1">
      <c r="A15" s="4" t="s">
        <v>8</v>
      </c>
      <c r="B15" s="5">
        <v>0.3</v>
      </c>
      <c r="C15" s="6">
        <f t="shared" si="0"/>
        <v>0.18667882504260314</v>
      </c>
    </row>
    <row r="16" spans="1:3" s="7" customFormat="1" ht="11.25" hidden="1">
      <c r="A16" s="4" t="s">
        <v>9</v>
      </c>
      <c r="B16" s="5">
        <v>0.15</v>
      </c>
      <c r="C16" s="6">
        <f t="shared" si="0"/>
        <v>0.13665689874040562</v>
      </c>
    </row>
    <row r="17" spans="1:3" s="7" customFormat="1" ht="11.25" hidden="1">
      <c r="A17" s="4" t="s">
        <v>10</v>
      </c>
      <c r="B17" s="5">
        <v>0.075</v>
      </c>
      <c r="C17" s="6">
        <f t="shared" si="0"/>
        <v>0.10003870534905883</v>
      </c>
    </row>
    <row r="18" s="7" customFormat="1" ht="11.25" hidden="1">
      <c r="C18" s="22"/>
    </row>
    <row r="19" spans="1:3" ht="28.5" customHeight="1" hidden="1">
      <c r="A19" s="32" t="s">
        <v>25</v>
      </c>
      <c r="B19" s="95">
        <f>+EstGranulometria!I26</f>
        <v>12.5</v>
      </c>
      <c r="C19" s="33" t="s">
        <v>26</v>
      </c>
    </row>
    <row r="20" ht="12.75" hidden="1"/>
    <row r="21" ht="12.75" hidden="1">
      <c r="A21" s="1" t="s">
        <v>32</v>
      </c>
    </row>
    <row r="22" ht="12.75" hidden="1">
      <c r="A22" s="8"/>
    </row>
    <row r="23" ht="12.75" hidden="1"/>
  </sheetData>
  <sheetProtection password="C1A9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Direcc.Nac.de Vialidad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 1</dc:creator>
  <cp:keywords/>
  <dc:description/>
  <cp:lastModifiedBy>User</cp:lastModifiedBy>
  <cp:lastPrinted>2005-09-09T11:52:27Z</cp:lastPrinted>
  <dcterms:created xsi:type="dcterms:W3CDTF">2003-12-30T14:11:58Z</dcterms:created>
  <dcterms:modified xsi:type="dcterms:W3CDTF">2007-06-28T14:30:54Z</dcterms:modified>
  <cp:category/>
  <cp:version/>
  <cp:contentType/>
  <cp:contentStatus/>
</cp:coreProperties>
</file>